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ob_work/Downloads/"/>
    </mc:Choice>
  </mc:AlternateContent>
  <xr:revisionPtr revIDLastSave="0" documentId="13_ncr:1_{CAC3DDC6-046E-D842-8DAA-62844DD6BE2C}" xr6:coauthVersionLast="47" xr6:coauthVersionMax="47" xr10:uidLastSave="{00000000-0000-0000-0000-000000000000}"/>
  <bookViews>
    <workbookView xWindow="0" yWindow="500" windowWidth="35840" windowHeight="219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1" l="1"/>
  <c r="E77" i="1" s="1"/>
  <c r="W44" i="1"/>
  <c r="V44" i="1"/>
  <c r="V77" i="1"/>
  <c r="D77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2" i="1"/>
  <c r="F77" i="1" s="1"/>
  <c r="H77" i="1"/>
  <c r="G77" i="1"/>
  <c r="J12" i="1"/>
  <c r="I77" i="1"/>
  <c r="J13" i="1"/>
  <c r="J14" i="1"/>
  <c r="J15" i="1"/>
  <c r="J16" i="1"/>
  <c r="J18" i="1"/>
  <c r="J22" i="1"/>
  <c r="J26" i="1"/>
  <c r="J30" i="1"/>
  <c r="J34" i="1"/>
  <c r="J38" i="1"/>
  <c r="J42" i="1"/>
  <c r="J77" i="1" s="1"/>
  <c r="J43" i="1"/>
  <c r="J47" i="1"/>
  <c r="J51" i="1"/>
  <c r="J53" i="1"/>
  <c r="J55" i="1"/>
  <c r="J57" i="1"/>
  <c r="J59" i="1"/>
  <c r="J61" i="1"/>
  <c r="J63" i="1"/>
  <c r="J67" i="1"/>
  <c r="J75" i="1"/>
  <c r="C46" i="1"/>
  <c r="B46" i="1"/>
  <c r="C43" i="1"/>
  <c r="B43" i="1"/>
  <c r="C74" i="1"/>
  <c r="B74" i="1"/>
  <c r="C72" i="1"/>
  <c r="B72" i="1"/>
  <c r="C70" i="1"/>
  <c r="B70" i="1"/>
  <c r="C68" i="1"/>
  <c r="B68" i="1"/>
  <c r="C66" i="1"/>
  <c r="B66" i="1"/>
  <c r="C64" i="1"/>
  <c r="B64" i="1"/>
  <c r="B50" i="1"/>
  <c r="C48" i="1"/>
  <c r="B48" i="1"/>
  <c r="C17" i="1"/>
  <c r="B17" i="1"/>
  <c r="C19" i="1"/>
  <c r="B19" i="1"/>
  <c r="C21" i="1"/>
  <c r="B21" i="1"/>
  <c r="C23" i="1"/>
  <c r="B23" i="1"/>
  <c r="C25" i="1"/>
  <c r="B25" i="1"/>
  <c r="C27" i="1"/>
  <c r="B27" i="1"/>
  <c r="C29" i="1"/>
  <c r="B29" i="1"/>
  <c r="C31" i="1"/>
  <c r="B31" i="1"/>
  <c r="C35" i="1"/>
  <c r="B35" i="1"/>
  <c r="C37" i="1"/>
  <c r="B37" i="1"/>
  <c r="C39" i="1"/>
  <c r="B39" i="1"/>
  <c r="C41" i="1"/>
  <c r="B41" i="1"/>
  <c r="C50" i="1"/>
  <c r="C13" i="1"/>
  <c r="B13" i="1"/>
  <c r="C12" i="1"/>
  <c r="B12" i="1"/>
  <c r="L85" i="1"/>
  <c r="L89" i="1" s="1"/>
  <c r="AA83" i="1" s="1"/>
  <c r="L86" i="1"/>
  <c r="L87" i="1"/>
  <c r="L81" i="1"/>
  <c r="L88" i="1" s="1"/>
  <c r="L90" i="1" s="1"/>
  <c r="L82" i="1"/>
  <c r="L83" i="1"/>
  <c r="L84" i="1"/>
  <c r="AA81" i="1" s="1"/>
  <c r="AB84" i="1"/>
  <c r="AB85" i="1"/>
  <c r="T75" i="1"/>
  <c r="T45" i="1"/>
  <c r="S86" i="1"/>
  <c r="T86" i="1" s="1"/>
  <c r="T82" i="1"/>
  <c r="S80" i="1"/>
  <c r="S84" i="1"/>
  <c r="T84" i="1" s="1"/>
  <c r="S88" i="1"/>
  <c r="T80" i="1"/>
  <c r="AA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Phoebe</author>
  </authors>
  <commentList>
    <comment ref="AB84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Phoebe:</t>
        </r>
        <r>
          <rPr>
            <sz val="9"/>
            <color indexed="81"/>
            <rFont val="Calibri"/>
            <family val="2"/>
          </rPr>
          <t xml:space="preserve">
multiply by #filter types (QMA, Supor, Qprefilter, Sprefilter)</t>
        </r>
      </text>
    </comment>
    <comment ref="W85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Phoebe:</t>
        </r>
        <r>
          <rPr>
            <sz val="9"/>
            <color indexed="81"/>
            <rFont val="Calibri"/>
            <family val="2"/>
          </rPr>
          <t xml:space="preserve">
1 blank set of filters per cast</t>
        </r>
      </text>
    </comment>
    <comment ref="AB85" authorId="0" shapeId="0" xr:uid="{00000000-0006-0000-0000-000003000000}">
      <text>
        <r>
          <rPr>
            <b/>
            <sz val="9"/>
            <color indexed="81"/>
            <rFont val="Calibri"/>
            <family val="2"/>
          </rPr>
          <t>Phoebe:</t>
        </r>
        <r>
          <rPr>
            <sz val="9"/>
            <color indexed="81"/>
            <rFont val="Calibri"/>
            <family val="2"/>
          </rPr>
          <t xml:space="preserve">
multiply by #filter types (QMA, Supor, Qprefilter, Sprefilter)</t>
        </r>
      </text>
    </comment>
  </commentList>
</comments>
</file>

<file path=xl/sharedStrings.xml><?xml version="1.0" encoding="utf-8"?>
<sst xmlns="http://schemas.openxmlformats.org/spreadsheetml/2006/main" count="184" uniqueCount="118">
  <si>
    <t>Lat</t>
  </si>
  <si>
    <t>Long</t>
  </si>
  <si>
    <t>Comments</t>
  </si>
  <si>
    <t>Papeete</t>
  </si>
  <si>
    <t>Station</t>
  </si>
  <si>
    <t>Super</t>
  </si>
  <si>
    <t>Demi</t>
  </si>
  <si>
    <t>Total</t>
  </si>
  <si>
    <t>Duration (h)</t>
  </si>
  <si>
    <t>Station Count:</t>
  </si>
  <si>
    <t>type</t>
  </si>
  <si>
    <t>Total on Station</t>
  </si>
  <si>
    <t>Contingency</t>
  </si>
  <si>
    <t>Transit required</t>
  </si>
  <si>
    <t>US GEOTRACES Meridional Pacific Station Plan</t>
  </si>
  <si>
    <t>Stn #</t>
  </si>
  <si>
    <t>Juan de Fuca Plume</t>
  </si>
  <si>
    <t xml:space="preserve">Version Date: </t>
  </si>
  <si>
    <t>Japanese GP02 Crossover</t>
  </si>
  <si>
    <t>NEPR Plume Center</t>
  </si>
  <si>
    <t>Crossover + SEPR Plume</t>
  </si>
  <si>
    <t>Slope</t>
  </si>
  <si>
    <t>pumps, one cast each system + Th, pigs</t>
  </si>
  <si>
    <t>no pumps, one cast each system +  pigs</t>
  </si>
  <si>
    <t>Rinse/Test 2</t>
  </si>
  <si>
    <t>Rinse/Test 1</t>
  </si>
  <si>
    <t>Test all systems</t>
  </si>
  <si>
    <t>Carousel rinse only</t>
  </si>
  <si>
    <t>Rinse/Test 3</t>
  </si>
  <si>
    <t>Rinse</t>
  </si>
  <si>
    <t>Rinse/test</t>
  </si>
  <si>
    <t>Carousel test only</t>
  </si>
  <si>
    <t>R&amp;R in Hilo -</t>
  </si>
  <si>
    <t>two casts each system +  pigs, one pump cast</t>
  </si>
  <si>
    <t>Date</t>
  </si>
  <si>
    <t>Days</t>
  </si>
  <si>
    <t>northern edge (?) of particle veil</t>
  </si>
  <si>
    <t>~Oldest H2O, particle veil center, low O2, highest nuts</t>
  </si>
  <si>
    <t>Shelf w/pump</t>
  </si>
  <si>
    <t>Shelf no pump</t>
  </si>
  <si>
    <t>shelf w/pump</t>
  </si>
  <si>
    <t>shelf no pump</t>
  </si>
  <si>
    <t>1ODF,1GTC</t>
  </si>
  <si>
    <t>Stn Type Count</t>
  </si>
  <si>
    <t>Stn Type Ops</t>
  </si>
  <si>
    <t>Stn Type</t>
  </si>
  <si>
    <t>pump: all samples (full+super)</t>
  </si>
  <si>
    <t>pump: all samples + blank filters</t>
  </si>
  <si>
    <t>°N</t>
  </si>
  <si>
    <t>°W</t>
  </si>
  <si>
    <t>Depth, m</t>
  </si>
  <si>
    <t>Aleutian Trench</t>
  </si>
  <si>
    <r>
      <t>HNLC center,</t>
    </r>
    <r>
      <rPr>
        <sz val="12"/>
        <rFont val="Calibri"/>
        <scheme val="minor"/>
      </rPr>
      <t xml:space="preserve"> ~shallowest subpolar OMZ, lowest calcite saturation</t>
    </r>
  </si>
  <si>
    <t>Loihi plume</t>
  </si>
  <si>
    <t>Center of ETNP distal ODZ</t>
  </si>
  <si>
    <t>Eq Pac particle veil</t>
  </si>
  <si>
    <t>Days for Leg</t>
  </si>
  <si>
    <t>3ODF,2GTC,2pump,1Be; one overlap depth per cast</t>
  </si>
  <si>
    <t>4ODF,4GTC,3pump,1Be; one overlap depth per cast</t>
  </si>
  <si>
    <t>Seattle</t>
  </si>
  <si>
    <t>Hours</t>
  </si>
  <si>
    <t>See footnotes at bottom of sheet</t>
  </si>
  <si>
    <t>4ODF,3GTC,2pump,1Be; one overlap depth per cast</t>
  </si>
  <si>
    <t>Approved Cruise Length</t>
  </si>
  <si>
    <r>
      <rPr>
        <b/>
        <sz val="12"/>
        <color theme="5" tint="-0.499984740745262"/>
        <rFont val="Calibri"/>
        <scheme val="minor"/>
      </rPr>
      <t>1 Shelf w/pump,1 Shelf no pump</t>
    </r>
    <r>
      <rPr>
        <b/>
        <sz val="12"/>
        <color theme="1"/>
        <rFont val="Calibri"/>
        <family val="2"/>
        <scheme val="minor"/>
      </rPr>
      <t xml:space="preserve">, 1 Slope, </t>
    </r>
    <r>
      <rPr>
        <b/>
        <sz val="12"/>
        <color rgb="FFFF0000"/>
        <rFont val="Calibri"/>
        <scheme val="minor"/>
      </rPr>
      <t>5 Super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2"/>
        <color rgb="FF0000FF"/>
        <rFont val="Calibri"/>
        <scheme val="minor"/>
      </rPr>
      <t>9 Full-36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2"/>
        <color rgb="FF008000"/>
        <rFont val="Calibri"/>
        <scheme val="minor"/>
      </rPr>
      <t>6 Full-24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2"/>
        <color theme="0" tint="-0.499984740745262"/>
        <rFont val="Calibri"/>
        <scheme val="minor"/>
      </rPr>
      <t>16 Demi</t>
    </r>
    <r>
      <rPr>
        <b/>
        <sz val="12"/>
        <rFont val="Calibri"/>
        <scheme val="minor"/>
      </rPr>
      <t xml:space="preserve"> (+ 3 rinse/test stations on Seattle transect)</t>
    </r>
  </si>
  <si>
    <t>Full-36</t>
  </si>
  <si>
    <t>Full-24</t>
  </si>
  <si>
    <r>
      <t>Full-2</t>
    </r>
    <r>
      <rPr>
        <sz val="12"/>
        <rFont val="Calibri"/>
        <scheme val="minor"/>
      </rPr>
      <t>4</t>
    </r>
  </si>
  <si>
    <r>
      <t>Full-3</t>
    </r>
    <r>
      <rPr>
        <sz val="12"/>
        <rFont val="Calibri"/>
        <scheme val="minor"/>
      </rPr>
      <t>6</t>
    </r>
  </si>
  <si>
    <t>Arriving fish all+interm fish</t>
  </si>
  <si>
    <r>
      <rPr>
        <sz val="12"/>
        <color rgb="FF0000FF"/>
        <rFont val="Calibri"/>
        <scheme val="minor"/>
      </rPr>
      <t>#</t>
    </r>
    <r>
      <rPr>
        <sz val="12"/>
        <color rgb="FF0000FF"/>
        <rFont val="Calibri"/>
        <scheme val="minor"/>
      </rPr>
      <t xml:space="preserve">Water </t>
    </r>
    <r>
      <rPr>
        <sz val="12"/>
        <color rgb="FF0000FF"/>
        <rFont val="Calibri"/>
        <scheme val="minor"/>
      </rPr>
      <t>samples*</t>
    </r>
  </si>
  <si>
    <r>
      <rPr>
        <sz val="12"/>
        <color rgb="FF0000FF"/>
        <rFont val="Calibri"/>
        <scheme val="minor"/>
      </rPr>
      <t>#</t>
    </r>
    <r>
      <rPr>
        <sz val="12"/>
        <color rgb="FF0000FF"/>
        <rFont val="Calibri"/>
        <scheme val="minor"/>
      </rPr>
      <t xml:space="preserve">Pump </t>
    </r>
    <r>
      <rPr>
        <sz val="12"/>
        <color rgb="FF0000FF"/>
        <rFont val="Calibri"/>
        <scheme val="minor"/>
      </rPr>
      <t>samples</t>
    </r>
  </si>
  <si>
    <t>#Pump casts</t>
  </si>
  <si>
    <t>Arriving fish all (full+super+demi)</t>
  </si>
  <si>
    <t>Arriving fish no demi (full+super)</t>
  </si>
  <si>
    <r>
      <t>* NOTE: bottom/top depths overlap if &gt;1 cast</t>
    </r>
    <r>
      <rPr>
        <sz val="12"/>
        <color rgb="FF0000FF"/>
        <rFont val="Calibri"/>
        <scheme val="minor"/>
      </rPr>
      <t>, so Full-24=23 depths+fish=24 depths; Full-36=34 depths+fish=35 depths</t>
    </r>
  </si>
  <si>
    <t>Total sample #:</t>
  </si>
  <si>
    <t>Stn time (h)</t>
  </si>
  <si>
    <t>water: demi+ full+super+arriving+interm fish</t>
  </si>
  <si>
    <t>water: demi+ full+super+arriving fish</t>
  </si>
  <si>
    <t>water: no demi (full+super+arriving fish)</t>
  </si>
  <si>
    <t>1ODF,1GTC,1pump</t>
  </si>
  <si>
    <t>3ODF,2GTC,1pump; 1 overlap depth per cast</t>
  </si>
  <si>
    <t>Station #</t>
  </si>
  <si>
    <t>ARGO3</t>
  </si>
  <si>
    <t>ARGO4</t>
  </si>
  <si>
    <t>ARGO5</t>
  </si>
  <si>
    <t>original ARGO</t>
  </si>
  <si>
    <t>revised ARGO</t>
  </si>
  <si>
    <t>intermediate fish</t>
  </si>
  <si>
    <t>prob sampled too early (close to stn 5) because ship slowed down</t>
  </si>
  <si>
    <t>cancelled due to bad weather</t>
  </si>
  <si>
    <t>only sampled for Yipeng He for Hg; fish taken out due to bad weather</t>
  </si>
  <si>
    <t>ARGO8</t>
  </si>
  <si>
    <t>ARGO9</t>
  </si>
  <si>
    <t>ARGO10</t>
  </si>
  <si>
    <t>ARGO11</t>
  </si>
  <si>
    <t>ARGO1</t>
  </si>
  <si>
    <t>ARGO2</t>
  </si>
  <si>
    <t>ARGO6</t>
  </si>
  <si>
    <t>ARGO7</t>
  </si>
  <si>
    <t>ARGO6 at 19.5; propose 17.5N</t>
  </si>
  <si>
    <t>ARGO7 at 15N; propose 14.25N</t>
  </si>
  <si>
    <t>Puna ridge</t>
  </si>
  <si>
    <t>Loihi seamount</t>
  </si>
  <si>
    <t>Demi+pumps</t>
  </si>
  <si>
    <t>Demi (8 depths)</t>
  </si>
  <si>
    <t>Demi fish</t>
  </si>
  <si>
    <t>CCFZ</t>
  </si>
  <si>
    <t>ODF casts</t>
  </si>
  <si>
    <t>upgraded to full 36</t>
  </si>
  <si>
    <t>third pump cast added</t>
  </si>
  <si>
    <t>depths NO3</t>
  </si>
  <si>
    <t>depths NO2</t>
  </si>
  <si>
    <t>depths N2O</t>
  </si>
  <si>
    <t>bottles NO3</t>
  </si>
  <si>
    <t>bottles NO2</t>
  </si>
  <si>
    <t>bottles N2O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</si>
</sst>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5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rgb="FFFF0000"/>
      <name val="Calibri"/>
      <scheme val="minor"/>
    </font>
    <font>
      <sz val="12"/>
      <color rgb="FF0000FF"/>
      <name val="Calibri"/>
      <scheme val="minor"/>
    </font>
    <font>
      <sz val="12"/>
      <name val="Calibri"/>
      <scheme val="minor"/>
    </font>
    <font>
      <b/>
      <sz val="12"/>
      <color rgb="FF0000FF"/>
      <name val="Calibri"/>
      <scheme val="minor"/>
    </font>
    <font>
      <b/>
      <sz val="12"/>
      <name val="Calibri"/>
      <scheme val="minor"/>
    </font>
    <font>
      <sz val="12"/>
      <color theme="0" tint="-0.499984740745262"/>
      <name val="Calibri"/>
      <scheme val="minor"/>
    </font>
    <font>
      <b/>
      <sz val="12"/>
      <color theme="5" tint="-0.499984740745262"/>
      <name val="Calibri"/>
      <scheme val="minor"/>
    </font>
    <font>
      <b/>
      <sz val="12"/>
      <color theme="0" tint="-0.499984740745262"/>
      <name val="Calibri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8000"/>
      <name val="Calibri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scheme val="minor"/>
    </font>
    <font>
      <i/>
      <sz val="12"/>
      <color rgb="FF0000FF"/>
      <name val="Calibri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2"/>
      <color rgb="FF008000"/>
      <name val="Calibri"/>
      <scheme val="minor"/>
    </font>
    <font>
      <sz val="12"/>
      <color rgb="FF0000FF"/>
      <name val="Calibri"/>
      <family val="2"/>
      <scheme val="minor"/>
    </font>
    <font>
      <sz val="12"/>
      <color theme="9"/>
      <name val="Calibri"/>
      <scheme val="minor"/>
    </font>
    <font>
      <i/>
      <sz val="12"/>
      <name val="Calibri"/>
      <scheme val="minor"/>
    </font>
    <font>
      <b/>
      <i/>
      <sz val="12"/>
      <color theme="1"/>
      <name val="Calibri"/>
      <scheme val="minor"/>
    </font>
    <font>
      <i/>
      <sz val="12"/>
      <color rgb="FF008000"/>
      <name val="Calibri"/>
      <scheme val="minor"/>
    </font>
    <font>
      <strike/>
      <sz val="12"/>
      <color theme="1"/>
      <name val="Calibri"/>
      <scheme val="minor"/>
    </font>
    <font>
      <b/>
      <strike/>
      <sz val="12"/>
      <color theme="1"/>
      <name val="Calibri"/>
      <scheme val="minor"/>
    </font>
    <font>
      <strike/>
      <sz val="12"/>
      <name val="Calibri"/>
      <scheme val="minor"/>
    </font>
    <font>
      <i/>
      <strike/>
      <sz val="12"/>
      <color theme="1"/>
      <name val="Calibri"/>
      <scheme val="minor"/>
    </font>
    <font>
      <b/>
      <i/>
      <strike/>
      <sz val="12"/>
      <color theme="1"/>
      <name val="Calibri"/>
      <scheme val="minor"/>
    </font>
    <font>
      <b/>
      <strike/>
      <sz val="12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Alignment="1">
      <alignment horizontal="right"/>
    </xf>
    <xf numFmtId="0" fontId="7" fillId="0" borderId="0" xfId="0" applyFont="1" applyFill="1"/>
    <xf numFmtId="2" fontId="9" fillId="0" borderId="0" xfId="0" applyNumberFormat="1" applyFont="1" applyAlignment="1">
      <alignment horizontal="left"/>
    </xf>
    <xf numFmtId="0" fontId="10" fillId="0" borderId="0" xfId="0" applyFont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15" fontId="5" fillId="0" borderId="0" xfId="0" applyNumberFormat="1" applyFont="1"/>
    <xf numFmtId="0" fontId="0" fillId="0" borderId="0" xfId="0" applyNumberFormat="1" applyAlignment="1"/>
    <xf numFmtId="0" fontId="13" fillId="0" borderId="0" xfId="0" applyNumberFormat="1" applyFont="1" applyAlignment="1"/>
    <xf numFmtId="2" fontId="13" fillId="0" borderId="0" xfId="0" applyNumberFormat="1" applyFont="1" applyAlignment="1"/>
    <xf numFmtId="2" fontId="14" fillId="0" borderId="0" xfId="0" applyNumberFormat="1" applyFont="1" applyAlignment="1">
      <alignment horizontal="right"/>
    </xf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6" fillId="0" borderId="0" xfId="0" applyFont="1"/>
    <xf numFmtId="0" fontId="0" fillId="0" borderId="0" xfId="0" applyAlignment="1">
      <alignment wrapText="1"/>
    </xf>
    <xf numFmtId="16" fontId="0" fillId="0" borderId="0" xfId="0" applyNumberFormat="1" applyFont="1"/>
    <xf numFmtId="16" fontId="0" fillId="0" borderId="0" xfId="0" applyNumberFormat="1"/>
    <xf numFmtId="1" fontId="4" fillId="0" borderId="0" xfId="0" applyNumberFormat="1" applyFont="1"/>
    <xf numFmtId="0" fontId="18" fillId="0" borderId="0" xfId="0" applyFont="1"/>
    <xf numFmtId="0" fontId="19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" fontId="0" fillId="0" borderId="0" xfId="0" applyNumberFormat="1"/>
    <xf numFmtId="0" fontId="7" fillId="2" borderId="0" xfId="0" applyFont="1" applyFill="1"/>
    <xf numFmtId="0" fontId="0" fillId="2" borderId="0" xfId="0" applyFill="1"/>
    <xf numFmtId="0" fontId="9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0" fontId="20" fillId="0" borderId="0" xfId="0" applyFont="1"/>
    <xf numFmtId="0" fontId="18" fillId="0" borderId="0" xfId="0" applyFont="1" applyFill="1"/>
    <xf numFmtId="0" fontId="24" fillId="0" borderId="0" xfId="0" applyFont="1"/>
    <xf numFmtId="0" fontId="14" fillId="0" borderId="0" xfId="0" applyFont="1"/>
    <xf numFmtId="0" fontId="14" fillId="0" borderId="0" xfId="0" applyFont="1" applyFill="1"/>
    <xf numFmtId="0" fontId="0" fillId="3" borderId="0" xfId="0" applyFill="1"/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0" xfId="0" applyNumberFormat="1" applyFill="1"/>
    <xf numFmtId="0" fontId="0" fillId="4" borderId="0" xfId="0" applyFill="1"/>
    <xf numFmtId="0" fontId="1" fillId="4" borderId="0" xfId="0" applyFont="1" applyFill="1"/>
    <xf numFmtId="0" fontId="6" fillId="0" borderId="0" xfId="0" applyFont="1" applyAlignment="1">
      <alignment wrapText="1"/>
    </xf>
    <xf numFmtId="0" fontId="0" fillId="4" borderId="0" xfId="0" applyFill="1" applyAlignment="1">
      <alignment horizontal="right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0" borderId="0" xfId="0" applyFont="1" applyFill="1" applyAlignment="1">
      <alignment horizontal="right"/>
    </xf>
    <xf numFmtId="2" fontId="0" fillId="0" borderId="0" xfId="0" applyNumberFormat="1" applyFont="1"/>
    <xf numFmtId="2" fontId="13" fillId="0" borderId="0" xfId="0" applyNumberFormat="1" applyFont="1"/>
    <xf numFmtId="2" fontId="13" fillId="0" borderId="0" xfId="0" applyNumberFormat="1" applyFont="1" applyAlignment="1">
      <alignment horizontal="right"/>
    </xf>
    <xf numFmtId="2" fontId="7" fillId="0" borderId="0" xfId="0" applyNumberFormat="1" applyFont="1"/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/>
    <xf numFmtId="2" fontId="0" fillId="0" borderId="0" xfId="0" applyNumberFormat="1"/>
    <xf numFmtId="2" fontId="0" fillId="0" borderId="0" xfId="0" applyNumberFormat="1" applyFont="1" applyFill="1"/>
    <xf numFmtId="2" fontId="13" fillId="0" borderId="0" xfId="0" applyNumberFormat="1" applyFont="1" applyFill="1"/>
    <xf numFmtId="2" fontId="7" fillId="0" borderId="0" xfId="0" applyNumberFormat="1" applyFont="1" applyFill="1" applyAlignment="1">
      <alignment horizontal="right"/>
    </xf>
    <xf numFmtId="0" fontId="25" fillId="0" borderId="0" xfId="0" applyFont="1"/>
    <xf numFmtId="165" fontId="13" fillId="0" borderId="0" xfId="0" applyNumberFormat="1" applyFont="1" applyFill="1"/>
    <xf numFmtId="0" fontId="26" fillId="0" borderId="0" xfId="0" applyFont="1" applyAlignment="1">
      <alignment horizontal="right"/>
    </xf>
    <xf numFmtId="0" fontId="27" fillId="0" borderId="0" xfId="0" applyFont="1"/>
    <xf numFmtId="0" fontId="28" fillId="0" borderId="0" xfId="0" applyFont="1" applyAlignment="1">
      <alignment horizontal="center"/>
    </xf>
    <xf numFmtId="16" fontId="4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right"/>
    </xf>
    <xf numFmtId="0" fontId="29" fillId="0" borderId="0" xfId="0" applyFont="1" applyFill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1" fillId="0" borderId="0" xfId="0" applyFont="1"/>
    <xf numFmtId="0" fontId="30" fillId="0" borderId="0" xfId="0" applyFont="1" applyFill="1"/>
    <xf numFmtId="0" fontId="30" fillId="2" borderId="0" xfId="0" applyFont="1" applyFill="1"/>
    <xf numFmtId="0" fontId="29" fillId="2" borderId="0" xfId="0" applyFont="1" applyFill="1"/>
    <xf numFmtId="0" fontId="29" fillId="0" borderId="0" xfId="0" applyFont="1" applyAlignment="1">
      <alignment wrapText="1"/>
    </xf>
    <xf numFmtId="0" fontId="9" fillId="0" borderId="0" xfId="0" applyFont="1"/>
    <xf numFmtId="0" fontId="7" fillId="0" borderId="0" xfId="0" applyNumberFormat="1" applyFont="1"/>
    <xf numFmtId="0" fontId="7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0" fillId="0" borderId="0" xfId="0" applyNumberFormat="1" applyFont="1" applyFill="1"/>
    <xf numFmtId="0" fontId="13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/>
    <xf numFmtId="0" fontId="0" fillId="0" borderId="0" xfId="0" applyNumberFormat="1"/>
    <xf numFmtId="0" fontId="9" fillId="2" borderId="0" xfId="0" applyNumberFormat="1" applyFont="1" applyFill="1"/>
    <xf numFmtId="0" fontId="7" fillId="2" borderId="0" xfId="0" applyNumberFormat="1" applyFont="1" applyFill="1" applyAlignment="1">
      <alignment horizontal="center"/>
    </xf>
    <xf numFmtId="0" fontId="0" fillId="0" borderId="0" xfId="0" applyNumberFormat="1" applyAlignment="1">
      <alignment wrapText="1"/>
    </xf>
    <xf numFmtId="0" fontId="7" fillId="0" borderId="0" xfId="0" applyNumberFormat="1" applyFont="1" applyAlignment="1"/>
    <xf numFmtId="0" fontId="5" fillId="0" borderId="0" xfId="0" applyFont="1" applyFill="1"/>
  </cellXfs>
  <cellStyles count="1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91"/>
  <sheetViews>
    <sheetView tabSelected="1" workbookViewId="0">
      <pane xSplit="1" ySplit="8" topLeftCell="E11" activePane="bottomRight" state="frozen"/>
      <selection pane="topRight" activeCell="B1" sqref="B1"/>
      <selection pane="bottomLeft" activeCell="A9" sqref="A9"/>
      <selection pane="bottomRight" activeCell="M7" sqref="M7"/>
    </sheetView>
  </sheetViews>
  <sheetFormatPr baseColWidth="10" defaultColWidth="11" defaultRowHeight="16"/>
  <cols>
    <col min="1" max="1" width="8.83203125" customWidth="1"/>
    <col min="2" max="3" width="11" style="7"/>
    <col min="4" max="10" width="11" style="95"/>
    <col min="11" max="11" width="11" style="7"/>
    <col min="12" max="12" width="12.33203125" customWidth="1"/>
    <col min="13" max="13" width="22" customWidth="1"/>
    <col min="14" max="14" width="11" style="82"/>
    <col min="16" max="16" width="9" customWidth="1"/>
    <col min="19" max="19" width="11" style="9"/>
    <col min="23" max="23" width="11.5" customWidth="1"/>
  </cols>
  <sheetData>
    <row r="2" spans="1:25">
      <c r="L2" s="13" t="s">
        <v>14</v>
      </c>
    </row>
    <row r="3" spans="1:25">
      <c r="L3" s="2" t="s">
        <v>61</v>
      </c>
    </row>
    <row r="4" spans="1:25">
      <c r="A4" s="22" t="s">
        <v>17</v>
      </c>
      <c r="B4" s="18">
        <v>43375</v>
      </c>
      <c r="L4" s="5" t="s">
        <v>9</v>
      </c>
      <c r="M4" s="2" t="s">
        <v>64</v>
      </c>
      <c r="N4" s="83"/>
      <c r="O4" s="2"/>
    </row>
    <row r="5" spans="1:25" ht="34">
      <c r="A5" t="s">
        <v>15</v>
      </c>
      <c r="B5" s="11" t="s">
        <v>0</v>
      </c>
      <c r="C5" s="11" t="s">
        <v>1</v>
      </c>
      <c r="D5" s="96" t="s">
        <v>109</v>
      </c>
      <c r="E5" s="96" t="s">
        <v>112</v>
      </c>
      <c r="F5" s="96" t="s">
        <v>115</v>
      </c>
      <c r="G5" s="96" t="s">
        <v>113</v>
      </c>
      <c r="H5" s="96" t="s">
        <v>116</v>
      </c>
      <c r="I5" s="96" t="s">
        <v>114</v>
      </c>
      <c r="J5" s="96" t="s">
        <v>117</v>
      </c>
      <c r="K5" s="11" t="s">
        <v>83</v>
      </c>
      <c r="L5" t="s">
        <v>4</v>
      </c>
      <c r="M5" t="s">
        <v>2</v>
      </c>
      <c r="N5" s="84" t="s">
        <v>87</v>
      </c>
      <c r="O5" s="11" t="s">
        <v>88</v>
      </c>
      <c r="P5" s="24" t="s">
        <v>50</v>
      </c>
      <c r="S5" s="9" t="s">
        <v>8</v>
      </c>
      <c r="T5" t="s">
        <v>56</v>
      </c>
      <c r="U5" t="s">
        <v>34</v>
      </c>
      <c r="V5" t="s">
        <v>109</v>
      </c>
      <c r="W5" s="60" t="s">
        <v>70</v>
      </c>
      <c r="X5" s="60" t="s">
        <v>71</v>
      </c>
      <c r="Y5" s="60" t="s">
        <v>72</v>
      </c>
    </row>
    <row r="6" spans="1:25">
      <c r="B6" s="25" t="s">
        <v>48</v>
      </c>
      <c r="C6" s="25" t="s">
        <v>49</v>
      </c>
      <c r="D6" s="97"/>
      <c r="E6" s="97"/>
      <c r="F6" s="97"/>
      <c r="G6" s="97"/>
      <c r="H6" s="97"/>
      <c r="I6" s="97"/>
      <c r="J6" s="97"/>
      <c r="K6" s="25"/>
      <c r="L6" t="s">
        <v>10</v>
      </c>
      <c r="W6" s="6" t="s">
        <v>75</v>
      </c>
      <c r="X6" s="6"/>
    </row>
    <row r="7" spans="1:25">
      <c r="B7" s="11"/>
      <c r="C7" s="11"/>
      <c r="D7" s="96"/>
      <c r="E7" s="96"/>
      <c r="F7" s="96"/>
      <c r="G7" s="96"/>
      <c r="H7" s="96"/>
      <c r="I7" s="96"/>
      <c r="J7" s="96"/>
      <c r="K7" s="11"/>
      <c r="X7" s="6"/>
    </row>
    <row r="8" spans="1:25">
      <c r="A8" s="19" t="s">
        <v>59</v>
      </c>
      <c r="B8" s="20"/>
      <c r="C8" s="21"/>
      <c r="D8" s="20"/>
      <c r="E8" s="20"/>
      <c r="F8" s="20"/>
      <c r="G8" s="20"/>
      <c r="H8" s="20"/>
      <c r="I8" s="20"/>
      <c r="J8" s="20"/>
      <c r="K8" s="21"/>
      <c r="U8" s="29">
        <v>43361</v>
      </c>
      <c r="W8" s="6"/>
      <c r="X8" s="6"/>
    </row>
    <row r="9" spans="1:25">
      <c r="A9" s="19" t="s">
        <v>25</v>
      </c>
      <c r="B9" s="21">
        <v>50</v>
      </c>
      <c r="C9" s="21">
        <v>129</v>
      </c>
      <c r="D9" s="20"/>
      <c r="E9" s="20"/>
      <c r="F9" s="20"/>
      <c r="G9" s="20"/>
      <c r="H9" s="20"/>
      <c r="I9" s="20"/>
      <c r="J9" s="20"/>
      <c r="K9" s="21"/>
      <c r="L9" s="23" t="s">
        <v>29</v>
      </c>
      <c r="M9" t="s">
        <v>27</v>
      </c>
      <c r="P9">
        <v>1300</v>
      </c>
      <c r="S9" s="9">
        <v>2</v>
      </c>
      <c r="V9">
        <v>0</v>
      </c>
      <c r="W9" s="33"/>
      <c r="X9" s="33"/>
    </row>
    <row r="10" spans="1:25">
      <c r="A10" t="s">
        <v>24</v>
      </c>
      <c r="B10" s="21">
        <v>52.5</v>
      </c>
      <c r="C10" s="21">
        <v>136.5</v>
      </c>
      <c r="D10" s="20">
        <v>1</v>
      </c>
      <c r="E10" s="20"/>
      <c r="F10" s="20"/>
      <c r="G10" s="20"/>
      <c r="H10" s="20"/>
      <c r="I10" s="20"/>
      <c r="J10" s="20"/>
      <c r="K10" s="20"/>
      <c r="L10" s="23" t="s">
        <v>30</v>
      </c>
      <c r="M10" t="s">
        <v>26</v>
      </c>
      <c r="P10">
        <v>3500</v>
      </c>
      <c r="S10" s="9">
        <v>12</v>
      </c>
      <c r="V10">
        <v>1</v>
      </c>
      <c r="W10" s="33"/>
      <c r="X10" s="33"/>
    </row>
    <row r="11" spans="1:25">
      <c r="A11" t="s">
        <v>28</v>
      </c>
      <c r="B11" s="21">
        <v>54.5</v>
      </c>
      <c r="C11" s="21">
        <v>145.25</v>
      </c>
      <c r="D11" s="20"/>
      <c r="E11" s="20"/>
      <c r="F11" s="20"/>
      <c r="G11" s="20"/>
      <c r="H11" s="20"/>
      <c r="I11" s="20"/>
      <c r="J11" s="20"/>
      <c r="K11" s="20"/>
      <c r="L11" s="23" t="s">
        <v>30</v>
      </c>
      <c r="M11" t="s">
        <v>31</v>
      </c>
      <c r="P11">
        <v>4000</v>
      </c>
      <c r="S11" s="9">
        <v>2</v>
      </c>
      <c r="V11">
        <v>1</v>
      </c>
      <c r="W11" s="33"/>
      <c r="X11" s="33"/>
    </row>
    <row r="12" spans="1:25">
      <c r="A12" s="2">
        <v>1</v>
      </c>
      <c r="B12" s="73">
        <f>56+3.513/60</f>
        <v>56.058549999999997</v>
      </c>
      <c r="C12" s="73">
        <f>156+57.727/60</f>
        <v>156.96211666666667</v>
      </c>
      <c r="D12" s="98">
        <v>1</v>
      </c>
      <c r="E12" s="98">
        <v>7</v>
      </c>
      <c r="F12" s="98">
        <f>E12*3</f>
        <v>21</v>
      </c>
      <c r="G12" s="98">
        <v>7</v>
      </c>
      <c r="H12" s="98"/>
      <c r="I12" s="98">
        <v>7</v>
      </c>
      <c r="J12" s="98">
        <f>I12*2</f>
        <v>14</v>
      </c>
      <c r="K12" s="1">
        <v>1</v>
      </c>
      <c r="L12" s="6" t="s">
        <v>40</v>
      </c>
      <c r="M12" t="s">
        <v>22</v>
      </c>
      <c r="P12">
        <v>90</v>
      </c>
      <c r="S12" s="9">
        <v>8</v>
      </c>
      <c r="V12">
        <v>1</v>
      </c>
      <c r="W12" s="33">
        <v>6</v>
      </c>
      <c r="X12" s="33">
        <v>4</v>
      </c>
      <c r="Y12">
        <v>1</v>
      </c>
    </row>
    <row r="13" spans="1:25">
      <c r="A13" s="2">
        <v>2</v>
      </c>
      <c r="B13" s="73">
        <f>55+35.686/60</f>
        <v>55.594766666666665</v>
      </c>
      <c r="C13" s="73">
        <f>156+20.766/60</f>
        <v>156.34610000000001</v>
      </c>
      <c r="D13" s="98">
        <v>1</v>
      </c>
      <c r="E13" s="98">
        <v>13</v>
      </c>
      <c r="F13" s="98">
        <f t="shared" ref="F13:F75" si="0">E13*3</f>
        <v>39</v>
      </c>
      <c r="G13" s="98">
        <v>13</v>
      </c>
      <c r="H13" s="98"/>
      <c r="I13" s="98">
        <v>13</v>
      </c>
      <c r="J13" s="98">
        <f t="shared" ref="J13:J75" si="1">I13*2</f>
        <v>26</v>
      </c>
      <c r="K13" s="1">
        <v>2</v>
      </c>
      <c r="L13" s="23" t="s">
        <v>41</v>
      </c>
      <c r="M13" t="s">
        <v>23</v>
      </c>
      <c r="P13">
        <v>240</v>
      </c>
      <c r="S13" s="9">
        <v>2</v>
      </c>
      <c r="V13">
        <v>1</v>
      </c>
      <c r="W13" s="33">
        <v>12</v>
      </c>
      <c r="X13" s="33">
        <v>0</v>
      </c>
      <c r="Y13">
        <v>0</v>
      </c>
    </row>
    <row r="14" spans="1:25">
      <c r="A14" s="2">
        <v>3</v>
      </c>
      <c r="B14" s="66">
        <v>55.08</v>
      </c>
      <c r="C14" s="66">
        <v>155.72</v>
      </c>
      <c r="D14" s="106">
        <v>2</v>
      </c>
      <c r="E14" s="106">
        <v>25</v>
      </c>
      <c r="F14" s="98">
        <f t="shared" si="0"/>
        <v>75</v>
      </c>
      <c r="G14" s="106">
        <v>13</v>
      </c>
      <c r="H14" s="106"/>
      <c r="I14" s="106">
        <v>25</v>
      </c>
      <c r="J14" s="98">
        <f t="shared" si="1"/>
        <v>50</v>
      </c>
      <c r="K14" s="1">
        <v>3</v>
      </c>
      <c r="L14" t="s">
        <v>21</v>
      </c>
      <c r="M14" t="s">
        <v>33</v>
      </c>
      <c r="P14" s="15">
        <v>1900</v>
      </c>
      <c r="S14" s="9">
        <v>16</v>
      </c>
      <c r="V14">
        <v>2</v>
      </c>
      <c r="W14" s="34">
        <v>24</v>
      </c>
      <c r="X14" s="33">
        <v>8</v>
      </c>
      <c r="Y14">
        <v>1</v>
      </c>
    </row>
    <row r="15" spans="1:25">
      <c r="A15" s="2">
        <v>4</v>
      </c>
      <c r="B15" s="66">
        <v>54.66</v>
      </c>
      <c r="C15" s="66">
        <v>155.16999999999999</v>
      </c>
      <c r="D15" s="106">
        <v>4</v>
      </c>
      <c r="E15" s="106">
        <v>37</v>
      </c>
      <c r="F15" s="98">
        <f t="shared" si="0"/>
        <v>111</v>
      </c>
      <c r="G15" s="106">
        <v>13</v>
      </c>
      <c r="H15" s="106"/>
      <c r="I15" s="106">
        <v>37</v>
      </c>
      <c r="J15" s="98">
        <f t="shared" si="1"/>
        <v>74</v>
      </c>
      <c r="K15" s="1">
        <v>4</v>
      </c>
      <c r="L15" s="51" t="s">
        <v>65</v>
      </c>
      <c r="M15" t="s">
        <v>51</v>
      </c>
      <c r="P15" s="1">
        <v>5400</v>
      </c>
      <c r="S15" s="9">
        <v>42</v>
      </c>
      <c r="V15">
        <v>4</v>
      </c>
      <c r="W15" s="35">
        <v>36</v>
      </c>
      <c r="X15" s="33">
        <v>16</v>
      </c>
      <c r="Y15" s="6">
        <v>2</v>
      </c>
    </row>
    <row r="16" spans="1:25">
      <c r="A16" s="2">
        <v>5</v>
      </c>
      <c r="B16" s="67">
        <v>53.68</v>
      </c>
      <c r="C16" s="68">
        <v>153.80000000000001</v>
      </c>
      <c r="D16" s="97">
        <v>3</v>
      </c>
      <c r="E16" s="97">
        <v>25</v>
      </c>
      <c r="F16" s="98">
        <f t="shared" si="0"/>
        <v>75</v>
      </c>
      <c r="G16" s="97">
        <v>13</v>
      </c>
      <c r="H16" s="97"/>
      <c r="I16" s="97">
        <v>25</v>
      </c>
      <c r="J16" s="98">
        <f t="shared" si="1"/>
        <v>50</v>
      </c>
      <c r="K16" s="25">
        <v>5</v>
      </c>
      <c r="L16" s="51" t="s">
        <v>66</v>
      </c>
      <c r="M16" s="1"/>
      <c r="P16" s="1">
        <v>4700</v>
      </c>
      <c r="S16" s="9">
        <v>35</v>
      </c>
      <c r="V16">
        <v>3</v>
      </c>
      <c r="W16" s="36">
        <v>24</v>
      </c>
      <c r="X16" s="33">
        <v>16</v>
      </c>
      <c r="Y16" s="6">
        <v>2</v>
      </c>
    </row>
    <row r="17" spans="1:25">
      <c r="A17" s="2">
        <v>5.5</v>
      </c>
      <c r="B17" s="74">
        <f>(B16+B18)/2</f>
        <v>52.84</v>
      </c>
      <c r="C17" s="74">
        <f>(C16+C18)/2</f>
        <v>152.9</v>
      </c>
      <c r="D17" s="99"/>
      <c r="E17" s="99">
        <v>1</v>
      </c>
      <c r="F17" s="98">
        <f t="shared" si="0"/>
        <v>3</v>
      </c>
      <c r="G17" s="99">
        <v>1</v>
      </c>
      <c r="H17" s="99"/>
      <c r="I17" s="99"/>
      <c r="J17" s="98"/>
      <c r="K17" s="25"/>
      <c r="L17" s="76" t="s">
        <v>89</v>
      </c>
      <c r="M17" s="1" t="s">
        <v>90</v>
      </c>
      <c r="P17" s="1"/>
      <c r="V17">
        <v>0</v>
      </c>
      <c r="W17" s="36">
        <v>1</v>
      </c>
      <c r="X17" s="33"/>
      <c r="Y17" s="6"/>
    </row>
    <row r="18" spans="1:25">
      <c r="A18" s="52">
        <v>6</v>
      </c>
      <c r="B18" s="69">
        <v>52</v>
      </c>
      <c r="C18" s="70">
        <v>152</v>
      </c>
      <c r="D18" s="96">
        <v>3</v>
      </c>
      <c r="E18" s="96">
        <v>25</v>
      </c>
      <c r="F18" s="98">
        <f t="shared" si="0"/>
        <v>75</v>
      </c>
      <c r="G18" s="96">
        <v>13</v>
      </c>
      <c r="H18" s="96"/>
      <c r="I18" s="96">
        <v>25</v>
      </c>
      <c r="J18" s="98">
        <f t="shared" si="1"/>
        <v>50</v>
      </c>
      <c r="K18" s="11">
        <v>6</v>
      </c>
      <c r="L18" s="51" t="s">
        <v>66</v>
      </c>
      <c r="M18" s="15" t="s">
        <v>52</v>
      </c>
      <c r="N18" s="82" t="s">
        <v>97</v>
      </c>
      <c r="O18" t="s">
        <v>97</v>
      </c>
      <c r="P18" s="41">
        <v>4599.0864000000001</v>
      </c>
      <c r="S18" s="9">
        <v>35</v>
      </c>
      <c r="V18">
        <v>3</v>
      </c>
      <c r="W18" s="36">
        <v>24</v>
      </c>
      <c r="X18" s="33">
        <v>16</v>
      </c>
      <c r="Y18" s="6">
        <v>2</v>
      </c>
    </row>
    <row r="19" spans="1:25">
      <c r="A19" s="2">
        <v>6.5</v>
      </c>
      <c r="B19" s="74">
        <f>(B18+B20)/2</f>
        <v>50.75</v>
      </c>
      <c r="C19" s="74">
        <f>(C18+C20)/2</f>
        <v>152</v>
      </c>
      <c r="D19" s="99"/>
      <c r="E19" s="99">
        <v>1</v>
      </c>
      <c r="F19" s="98">
        <f t="shared" si="0"/>
        <v>3</v>
      </c>
      <c r="G19" s="99">
        <v>1</v>
      </c>
      <c r="H19" s="99"/>
      <c r="I19" s="99"/>
      <c r="J19" s="98"/>
      <c r="K19" s="25"/>
      <c r="L19" s="76" t="s">
        <v>89</v>
      </c>
      <c r="M19" s="8" t="s">
        <v>92</v>
      </c>
      <c r="P19" s="1"/>
      <c r="V19">
        <v>0</v>
      </c>
      <c r="W19" s="36">
        <v>1</v>
      </c>
      <c r="X19" s="33"/>
      <c r="Y19" s="6"/>
    </row>
    <row r="20" spans="1:25">
      <c r="A20" s="52">
        <v>7</v>
      </c>
      <c r="B20" s="71">
        <v>49.5</v>
      </c>
      <c r="C20" s="75">
        <v>152</v>
      </c>
      <c r="D20" s="100">
        <v>1</v>
      </c>
      <c r="E20" s="100">
        <v>13</v>
      </c>
      <c r="F20" s="98">
        <f t="shared" si="0"/>
        <v>39</v>
      </c>
      <c r="G20" s="100">
        <v>13</v>
      </c>
      <c r="H20" s="100"/>
      <c r="I20" s="100"/>
      <c r="J20" s="98"/>
      <c r="K20" s="11">
        <v>7</v>
      </c>
      <c r="L20" s="14" t="s">
        <v>6</v>
      </c>
      <c r="M20" s="3"/>
      <c r="N20" s="82" t="s">
        <v>98</v>
      </c>
      <c r="O20" s="1" t="s">
        <v>98</v>
      </c>
      <c r="P20" s="41">
        <v>4936.13</v>
      </c>
      <c r="S20" s="9">
        <v>2</v>
      </c>
      <c r="V20">
        <v>1</v>
      </c>
      <c r="W20" s="33">
        <v>12</v>
      </c>
      <c r="X20" s="33"/>
    </row>
    <row r="21" spans="1:25">
      <c r="A21" s="2">
        <v>7.5</v>
      </c>
      <c r="B21" s="74">
        <f>(B20+B22)/2</f>
        <v>48.25</v>
      </c>
      <c r="C21" s="74">
        <f>(C20+C22)/2</f>
        <v>152</v>
      </c>
      <c r="D21" s="99"/>
      <c r="E21" s="99">
        <v>0</v>
      </c>
      <c r="F21" s="98">
        <f t="shared" si="0"/>
        <v>0</v>
      </c>
      <c r="G21" s="99">
        <v>0</v>
      </c>
      <c r="H21" s="99"/>
      <c r="I21" s="99"/>
      <c r="J21" s="98"/>
      <c r="K21" s="25"/>
      <c r="L21" s="76" t="s">
        <v>89</v>
      </c>
      <c r="M21" s="8" t="s">
        <v>91</v>
      </c>
      <c r="P21" s="1"/>
      <c r="V21">
        <v>0</v>
      </c>
      <c r="W21" s="36">
        <v>0</v>
      </c>
      <c r="X21" s="33"/>
      <c r="Y21" s="6"/>
    </row>
    <row r="22" spans="1:25">
      <c r="A22" s="52">
        <v>8</v>
      </c>
      <c r="B22" s="71">
        <v>47</v>
      </c>
      <c r="C22" s="75">
        <v>152</v>
      </c>
      <c r="D22" s="100">
        <v>4</v>
      </c>
      <c r="E22" s="100">
        <v>37</v>
      </c>
      <c r="F22" s="98">
        <f t="shared" si="0"/>
        <v>111</v>
      </c>
      <c r="G22" s="100">
        <v>13</v>
      </c>
      <c r="H22" s="100"/>
      <c r="I22" s="100">
        <v>37</v>
      </c>
      <c r="J22" s="98">
        <f t="shared" si="1"/>
        <v>74</v>
      </c>
      <c r="K22" s="11">
        <v>8</v>
      </c>
      <c r="L22" s="4" t="s">
        <v>5</v>
      </c>
      <c r="M22" t="s">
        <v>18</v>
      </c>
      <c r="P22" s="41">
        <v>5165.2979999999998</v>
      </c>
      <c r="S22" s="9">
        <v>52</v>
      </c>
      <c r="V22">
        <v>4</v>
      </c>
      <c r="W22" s="37">
        <v>36</v>
      </c>
      <c r="X22" s="37">
        <v>24</v>
      </c>
      <c r="Y22" s="31">
        <v>3</v>
      </c>
    </row>
    <row r="23" spans="1:25">
      <c r="A23" s="2">
        <v>8.5</v>
      </c>
      <c r="B23" s="74">
        <f>(B22+B24)/2</f>
        <v>45.75</v>
      </c>
      <c r="C23" s="74">
        <f>(C22+C24)/2</f>
        <v>152</v>
      </c>
      <c r="D23" s="99"/>
      <c r="E23" s="99">
        <v>1</v>
      </c>
      <c r="F23" s="98">
        <f t="shared" si="0"/>
        <v>3</v>
      </c>
      <c r="G23" s="99">
        <v>1</v>
      </c>
      <c r="H23" s="99"/>
      <c r="I23" s="99"/>
      <c r="J23" s="98"/>
      <c r="K23" s="25"/>
      <c r="L23" s="76" t="s">
        <v>89</v>
      </c>
      <c r="M23" s="8"/>
      <c r="P23" s="1"/>
      <c r="V23">
        <v>0</v>
      </c>
      <c r="W23" s="36">
        <v>1</v>
      </c>
      <c r="X23" s="33"/>
      <c r="Y23" s="6"/>
    </row>
    <row r="24" spans="1:25">
      <c r="A24" s="52">
        <v>9</v>
      </c>
      <c r="B24" s="71">
        <v>44.5</v>
      </c>
      <c r="C24" s="75">
        <v>152</v>
      </c>
      <c r="D24" s="100">
        <v>1</v>
      </c>
      <c r="E24" s="100">
        <v>13</v>
      </c>
      <c r="F24" s="98">
        <f t="shared" si="0"/>
        <v>39</v>
      </c>
      <c r="G24" s="100">
        <v>13</v>
      </c>
      <c r="H24" s="100"/>
      <c r="I24" s="100"/>
      <c r="J24" s="98"/>
      <c r="K24" s="11">
        <v>9</v>
      </c>
      <c r="L24" s="14" t="s">
        <v>6</v>
      </c>
      <c r="M24" s="3"/>
      <c r="N24" s="82" t="s">
        <v>84</v>
      </c>
      <c r="O24" s="1"/>
      <c r="P24" s="41">
        <v>5224.1170000000002</v>
      </c>
      <c r="S24" s="9">
        <v>2</v>
      </c>
      <c r="V24">
        <v>1</v>
      </c>
      <c r="W24" s="33">
        <v>12</v>
      </c>
      <c r="X24" s="33"/>
    </row>
    <row r="25" spans="1:25">
      <c r="A25" s="2">
        <v>9.5</v>
      </c>
      <c r="B25" s="74">
        <f>(B24+B26)/2</f>
        <v>43.25</v>
      </c>
      <c r="C25" s="74">
        <f>(C24+C26)/2</f>
        <v>152</v>
      </c>
      <c r="D25" s="99"/>
      <c r="E25" s="99">
        <v>1</v>
      </c>
      <c r="F25" s="98">
        <f t="shared" si="0"/>
        <v>3</v>
      </c>
      <c r="G25" s="99">
        <v>1</v>
      </c>
      <c r="H25" s="99"/>
      <c r="I25" s="99"/>
      <c r="J25" s="98"/>
      <c r="K25" s="25"/>
      <c r="L25" s="76" t="s">
        <v>89</v>
      </c>
      <c r="M25" s="8"/>
      <c r="P25" s="1"/>
      <c r="V25">
        <v>0</v>
      </c>
      <c r="W25" s="36">
        <v>1</v>
      </c>
      <c r="X25" s="33"/>
      <c r="Y25" s="6"/>
    </row>
    <row r="26" spans="1:25">
      <c r="A26" s="52">
        <v>10</v>
      </c>
      <c r="B26" s="71">
        <v>42</v>
      </c>
      <c r="C26" s="75">
        <v>152</v>
      </c>
      <c r="D26" s="100">
        <v>3</v>
      </c>
      <c r="E26" s="100">
        <v>25</v>
      </c>
      <c r="F26" s="98">
        <f t="shared" si="0"/>
        <v>75</v>
      </c>
      <c r="G26" s="100">
        <v>13</v>
      </c>
      <c r="H26" s="100"/>
      <c r="I26" s="100">
        <v>25</v>
      </c>
      <c r="J26" s="98">
        <f t="shared" si="1"/>
        <v>50</v>
      </c>
      <c r="K26" s="11">
        <v>10</v>
      </c>
      <c r="L26" s="51" t="s">
        <v>66</v>
      </c>
      <c r="M26" s="24" t="s">
        <v>36</v>
      </c>
      <c r="O26" t="s">
        <v>84</v>
      </c>
      <c r="P26" s="41">
        <v>5212.4022999999997</v>
      </c>
      <c r="S26" s="9">
        <v>35</v>
      </c>
      <c r="V26">
        <v>3</v>
      </c>
      <c r="W26" s="36">
        <v>24</v>
      </c>
      <c r="X26" s="33">
        <v>16</v>
      </c>
      <c r="Y26" s="6">
        <v>2</v>
      </c>
    </row>
    <row r="27" spans="1:25">
      <c r="A27" s="52">
        <v>10.5</v>
      </c>
      <c r="B27" s="74">
        <f>(B26+B28)/2</f>
        <v>40.75</v>
      </c>
      <c r="C27" s="74">
        <f>(C26+C28)/2</f>
        <v>152</v>
      </c>
      <c r="D27" s="99"/>
      <c r="E27" s="99">
        <v>1</v>
      </c>
      <c r="F27" s="98">
        <f t="shared" si="0"/>
        <v>3</v>
      </c>
      <c r="G27" s="99">
        <v>1</v>
      </c>
      <c r="H27" s="99"/>
      <c r="I27" s="99"/>
      <c r="J27" s="98"/>
      <c r="K27" s="11"/>
      <c r="L27" s="76" t="s">
        <v>89</v>
      </c>
      <c r="M27" s="24"/>
      <c r="P27" s="41"/>
      <c r="V27">
        <v>0</v>
      </c>
      <c r="W27" s="36">
        <v>1</v>
      </c>
      <c r="X27" s="33"/>
      <c r="Y27" s="6"/>
    </row>
    <row r="28" spans="1:25">
      <c r="A28" s="52">
        <v>11</v>
      </c>
      <c r="B28" s="71">
        <v>39.5</v>
      </c>
      <c r="C28" s="75">
        <v>152</v>
      </c>
      <c r="D28" s="100">
        <v>1</v>
      </c>
      <c r="E28" s="100">
        <v>13</v>
      </c>
      <c r="F28" s="98">
        <f t="shared" si="0"/>
        <v>39</v>
      </c>
      <c r="G28" s="100">
        <v>13</v>
      </c>
      <c r="H28" s="100"/>
      <c r="I28" s="100"/>
      <c r="J28" s="98"/>
      <c r="K28" s="11">
        <v>11</v>
      </c>
      <c r="L28" s="14" t="s">
        <v>6</v>
      </c>
      <c r="M28" s="3"/>
      <c r="N28" s="82" t="s">
        <v>85</v>
      </c>
      <c r="O28" s="1"/>
      <c r="P28" s="41">
        <v>5437.5469999999996</v>
      </c>
      <c r="S28" s="16">
        <v>2</v>
      </c>
      <c r="V28">
        <v>1</v>
      </c>
      <c r="W28" s="33">
        <v>12</v>
      </c>
      <c r="X28" s="33"/>
    </row>
    <row r="29" spans="1:25">
      <c r="A29" s="52">
        <v>11.5</v>
      </c>
      <c r="B29" s="74">
        <f>(B28+B30)/2</f>
        <v>38.25</v>
      </c>
      <c r="C29" s="74">
        <f>(C28+C30)/2</f>
        <v>152</v>
      </c>
      <c r="D29" s="99"/>
      <c r="E29" s="99">
        <v>1</v>
      </c>
      <c r="F29" s="98">
        <f t="shared" si="0"/>
        <v>3</v>
      </c>
      <c r="G29" s="99">
        <v>1</v>
      </c>
      <c r="H29" s="99"/>
      <c r="I29" s="99"/>
      <c r="J29" s="98"/>
      <c r="K29" s="11"/>
      <c r="L29" s="76" t="s">
        <v>89</v>
      </c>
      <c r="M29" s="3"/>
      <c r="O29" s="1"/>
      <c r="P29" s="41"/>
      <c r="S29" s="16"/>
      <c r="V29">
        <v>0</v>
      </c>
      <c r="W29" s="33">
        <v>1</v>
      </c>
      <c r="X29" s="33"/>
    </row>
    <row r="30" spans="1:25">
      <c r="A30" s="52">
        <v>12</v>
      </c>
      <c r="B30" s="71">
        <v>37</v>
      </c>
      <c r="C30" s="75">
        <v>152</v>
      </c>
      <c r="D30" s="100">
        <v>4</v>
      </c>
      <c r="E30" s="100">
        <v>37</v>
      </c>
      <c r="F30" s="98">
        <f t="shared" si="0"/>
        <v>111</v>
      </c>
      <c r="G30" s="100">
        <v>13</v>
      </c>
      <c r="H30" s="100"/>
      <c r="I30" s="100">
        <v>37</v>
      </c>
      <c r="J30" s="98">
        <f t="shared" si="1"/>
        <v>74</v>
      </c>
      <c r="K30" s="11">
        <v>12</v>
      </c>
      <c r="L30" s="6" t="s">
        <v>65</v>
      </c>
      <c r="M30" s="24" t="s">
        <v>37</v>
      </c>
      <c r="N30" s="82" t="s">
        <v>86</v>
      </c>
      <c r="O30" s="1"/>
      <c r="P30" s="41">
        <v>5651.8842999999997</v>
      </c>
      <c r="S30" s="9">
        <v>42</v>
      </c>
      <c r="V30">
        <v>4</v>
      </c>
      <c r="W30" s="33">
        <v>36</v>
      </c>
      <c r="X30" s="33">
        <v>16</v>
      </c>
      <c r="Y30" s="6">
        <v>2</v>
      </c>
    </row>
    <row r="31" spans="1:25">
      <c r="A31" s="52">
        <v>12.5</v>
      </c>
      <c r="B31" s="74">
        <f>(B30+B32)/2</f>
        <v>35.75</v>
      </c>
      <c r="C31" s="74">
        <f>(C30+C32)/2</f>
        <v>152</v>
      </c>
      <c r="D31" s="99"/>
      <c r="E31" s="99">
        <v>1</v>
      </c>
      <c r="F31" s="98">
        <f t="shared" si="0"/>
        <v>3</v>
      </c>
      <c r="G31" s="99">
        <v>1</v>
      </c>
      <c r="H31" s="99"/>
      <c r="I31" s="99"/>
      <c r="J31" s="98"/>
      <c r="K31" s="11"/>
      <c r="L31" s="76" t="s">
        <v>89</v>
      </c>
      <c r="M31" s="24"/>
      <c r="O31" s="1"/>
      <c r="P31" s="41"/>
      <c r="V31">
        <v>0</v>
      </c>
      <c r="W31" s="33">
        <v>1</v>
      </c>
      <c r="X31" s="33"/>
      <c r="Y31" s="6"/>
    </row>
    <row r="32" spans="1:25">
      <c r="A32" s="52">
        <v>13</v>
      </c>
      <c r="B32" s="71">
        <v>34.5</v>
      </c>
      <c r="C32" s="75">
        <v>152</v>
      </c>
      <c r="D32" s="100">
        <v>1</v>
      </c>
      <c r="E32" s="100">
        <v>13</v>
      </c>
      <c r="F32" s="98">
        <f t="shared" si="0"/>
        <v>39</v>
      </c>
      <c r="G32" s="100">
        <v>13</v>
      </c>
      <c r="H32" s="100"/>
      <c r="I32" s="100"/>
      <c r="J32" s="98"/>
      <c r="K32" s="11">
        <v>13</v>
      </c>
      <c r="L32" s="14" t="s">
        <v>6</v>
      </c>
      <c r="M32" s="3"/>
      <c r="N32" s="82" t="s">
        <v>99</v>
      </c>
      <c r="O32" s="1"/>
      <c r="P32" s="41">
        <v>5665.3909999999996</v>
      </c>
      <c r="S32" s="16">
        <v>2</v>
      </c>
      <c r="V32">
        <v>1</v>
      </c>
      <c r="W32" s="33">
        <v>12</v>
      </c>
      <c r="X32" s="33"/>
    </row>
    <row r="33" spans="1:25">
      <c r="A33" s="52">
        <v>13.5</v>
      </c>
      <c r="B33" s="71">
        <v>33.25</v>
      </c>
      <c r="C33" s="75">
        <v>152</v>
      </c>
      <c r="D33" s="100"/>
      <c r="E33" s="100">
        <v>1</v>
      </c>
      <c r="F33" s="98">
        <f t="shared" si="0"/>
        <v>3</v>
      </c>
      <c r="G33" s="100">
        <v>1</v>
      </c>
      <c r="H33" s="100"/>
      <c r="I33" s="100"/>
      <c r="J33" s="98"/>
      <c r="K33" s="11"/>
      <c r="L33" s="76" t="s">
        <v>89</v>
      </c>
      <c r="M33" s="3"/>
      <c r="N33" s="82" t="s">
        <v>100</v>
      </c>
      <c r="O33" s="1"/>
      <c r="P33" s="41"/>
      <c r="S33" s="16"/>
      <c r="V33">
        <v>0</v>
      </c>
      <c r="W33" s="33">
        <v>1</v>
      </c>
      <c r="X33" s="33"/>
    </row>
    <row r="34" spans="1:25" s="15" customFormat="1">
      <c r="A34" s="53">
        <v>14</v>
      </c>
      <c r="B34" s="71">
        <v>32</v>
      </c>
      <c r="C34" s="75">
        <v>152</v>
      </c>
      <c r="D34" s="100">
        <v>4</v>
      </c>
      <c r="E34" s="100">
        <v>37</v>
      </c>
      <c r="F34" s="98">
        <f t="shared" si="0"/>
        <v>111</v>
      </c>
      <c r="G34" s="100">
        <v>13</v>
      </c>
      <c r="H34" s="100"/>
      <c r="I34" s="100">
        <v>37</v>
      </c>
      <c r="J34" s="98">
        <f t="shared" si="1"/>
        <v>74</v>
      </c>
      <c r="K34" s="11">
        <v>14</v>
      </c>
      <c r="L34" s="4" t="s">
        <v>5</v>
      </c>
      <c r="M34" s="15" t="s">
        <v>16</v>
      </c>
      <c r="N34" s="85" t="s">
        <v>93</v>
      </c>
      <c r="O34" s="8"/>
      <c r="P34" s="41">
        <v>5324.5429999999997</v>
      </c>
      <c r="S34" s="9">
        <v>52</v>
      </c>
      <c r="V34" s="15">
        <v>4</v>
      </c>
      <c r="W34" s="37">
        <v>36</v>
      </c>
      <c r="X34" s="37">
        <v>24</v>
      </c>
      <c r="Y34" s="50">
        <v>3</v>
      </c>
    </row>
    <row r="35" spans="1:25" s="15" customFormat="1">
      <c r="A35" s="53">
        <v>14.5</v>
      </c>
      <c r="B35" s="74">
        <f>(B34+B36)/2</f>
        <v>30.75</v>
      </c>
      <c r="C35" s="74">
        <f>(C34+C36)/2</f>
        <v>152</v>
      </c>
      <c r="D35" s="99"/>
      <c r="E35" s="99">
        <v>1</v>
      </c>
      <c r="F35" s="98">
        <f t="shared" si="0"/>
        <v>3</v>
      </c>
      <c r="G35" s="99">
        <v>1</v>
      </c>
      <c r="H35" s="99"/>
      <c r="I35" s="99"/>
      <c r="J35" s="98"/>
      <c r="K35" s="11"/>
      <c r="L35" s="76" t="s">
        <v>89</v>
      </c>
      <c r="N35" s="85"/>
      <c r="O35" s="8"/>
      <c r="P35" s="41"/>
      <c r="S35" s="9"/>
      <c r="V35" s="15">
        <v>0</v>
      </c>
      <c r="W35" s="37">
        <v>1</v>
      </c>
      <c r="X35" s="37"/>
      <c r="Y35" s="50"/>
    </row>
    <row r="36" spans="1:25">
      <c r="A36" s="53">
        <v>15</v>
      </c>
      <c r="B36" s="71">
        <v>29.5</v>
      </c>
      <c r="C36" s="75">
        <v>152</v>
      </c>
      <c r="D36" s="100">
        <v>1</v>
      </c>
      <c r="E36" s="100">
        <v>13</v>
      </c>
      <c r="F36" s="98">
        <f t="shared" si="0"/>
        <v>39</v>
      </c>
      <c r="G36" s="100">
        <v>13</v>
      </c>
      <c r="H36" s="100"/>
      <c r="I36" s="100"/>
      <c r="J36" s="98"/>
      <c r="K36" s="11">
        <v>15</v>
      </c>
      <c r="L36" s="14" t="s">
        <v>6</v>
      </c>
      <c r="M36" s="3"/>
      <c r="N36" s="85" t="s">
        <v>94</v>
      </c>
      <c r="O36" s="8"/>
      <c r="P36" s="41">
        <v>5422.3437999999996</v>
      </c>
      <c r="S36" s="16">
        <v>2</v>
      </c>
      <c r="V36" s="15">
        <v>1</v>
      </c>
      <c r="W36" s="33">
        <v>12</v>
      </c>
      <c r="X36" s="33"/>
    </row>
    <row r="37" spans="1:25">
      <c r="A37" s="53">
        <v>15.5</v>
      </c>
      <c r="B37" s="74">
        <f>(B36+B38)/2</f>
        <v>28.25</v>
      </c>
      <c r="C37" s="74">
        <f>(C36+C38)/2</f>
        <v>152</v>
      </c>
      <c r="D37" s="99"/>
      <c r="E37" s="99">
        <v>1</v>
      </c>
      <c r="F37" s="98">
        <f t="shared" si="0"/>
        <v>3</v>
      </c>
      <c r="G37" s="99">
        <v>1</v>
      </c>
      <c r="H37" s="99"/>
      <c r="I37" s="99"/>
      <c r="J37" s="98"/>
      <c r="K37" s="11"/>
      <c r="L37" s="76" t="s">
        <v>89</v>
      </c>
      <c r="M37" s="3"/>
      <c r="N37" s="85"/>
      <c r="O37" s="8"/>
      <c r="P37" s="41"/>
      <c r="S37" s="16"/>
      <c r="V37" s="15">
        <v>0</v>
      </c>
      <c r="W37" s="33">
        <v>1</v>
      </c>
      <c r="X37" s="33"/>
    </row>
    <row r="38" spans="1:25" s="2" customFormat="1">
      <c r="A38" s="52">
        <v>16</v>
      </c>
      <c r="B38" s="71">
        <v>27</v>
      </c>
      <c r="C38" s="75">
        <v>152</v>
      </c>
      <c r="D38" s="100">
        <v>3</v>
      </c>
      <c r="E38" s="100">
        <v>25</v>
      </c>
      <c r="F38" s="98">
        <f t="shared" si="0"/>
        <v>75</v>
      </c>
      <c r="G38" s="100">
        <v>13</v>
      </c>
      <c r="H38" s="100"/>
      <c r="I38" s="100">
        <v>25</v>
      </c>
      <c r="J38" s="98">
        <f t="shared" si="1"/>
        <v>50</v>
      </c>
      <c r="K38" s="11">
        <v>16</v>
      </c>
      <c r="L38" s="51" t="s">
        <v>66</v>
      </c>
      <c r="M38" s="1"/>
      <c r="N38" s="83"/>
      <c r="P38" s="41">
        <v>5485.2979999999998</v>
      </c>
      <c r="S38" s="9">
        <v>35</v>
      </c>
      <c r="V38" s="2">
        <v>3</v>
      </c>
      <c r="W38" s="36">
        <v>24</v>
      </c>
      <c r="X38" s="33">
        <v>16</v>
      </c>
      <c r="Y38" s="6">
        <v>2</v>
      </c>
    </row>
    <row r="39" spans="1:25" s="2" customFormat="1">
      <c r="A39" s="52">
        <v>16.5</v>
      </c>
      <c r="B39" s="74">
        <f>(B38+B40)/2</f>
        <v>25.75</v>
      </c>
      <c r="C39" s="74">
        <f>(C38+C40)/2</f>
        <v>152</v>
      </c>
      <c r="D39" s="99"/>
      <c r="E39" s="99">
        <v>1</v>
      </c>
      <c r="F39" s="98">
        <f t="shared" si="0"/>
        <v>3</v>
      </c>
      <c r="G39" s="99">
        <v>1</v>
      </c>
      <c r="H39" s="99"/>
      <c r="I39" s="99"/>
      <c r="J39" s="98"/>
      <c r="K39" s="11"/>
      <c r="L39" s="76" t="s">
        <v>89</v>
      </c>
      <c r="M39" s="1"/>
      <c r="N39" s="83"/>
      <c r="P39" s="41"/>
      <c r="S39" s="9"/>
      <c r="V39" s="2">
        <v>0</v>
      </c>
      <c r="W39" s="36">
        <v>1</v>
      </c>
      <c r="X39" s="33"/>
      <c r="Y39" s="6"/>
    </row>
    <row r="40" spans="1:25" s="3" customFormat="1">
      <c r="A40" s="52">
        <v>17</v>
      </c>
      <c r="B40" s="71">
        <v>24.5</v>
      </c>
      <c r="C40" s="75">
        <v>152</v>
      </c>
      <c r="D40" s="100">
        <v>1</v>
      </c>
      <c r="E40" s="100">
        <v>13</v>
      </c>
      <c r="F40" s="98">
        <f t="shared" si="0"/>
        <v>39</v>
      </c>
      <c r="G40" s="100">
        <v>13</v>
      </c>
      <c r="H40" s="100"/>
      <c r="I40" s="100"/>
      <c r="J40" s="98"/>
      <c r="K40" s="11">
        <v>17</v>
      </c>
      <c r="L40" s="14" t="s">
        <v>6</v>
      </c>
      <c r="N40" s="86"/>
      <c r="O40" s="1" t="s">
        <v>85</v>
      </c>
      <c r="P40" s="41">
        <v>5373.8</v>
      </c>
      <c r="S40" s="16">
        <v>2</v>
      </c>
      <c r="V40" s="3">
        <v>1</v>
      </c>
      <c r="W40" s="38">
        <v>12</v>
      </c>
      <c r="X40" s="38"/>
    </row>
    <row r="41" spans="1:25" s="3" customFormat="1">
      <c r="A41" s="52">
        <v>17.5</v>
      </c>
      <c r="B41" s="74">
        <f>(B40+B42)/2</f>
        <v>23.25</v>
      </c>
      <c r="C41" s="74">
        <f>(C40+C42)/2</f>
        <v>152</v>
      </c>
      <c r="D41" s="99"/>
      <c r="E41" s="99">
        <v>1</v>
      </c>
      <c r="F41" s="98">
        <f t="shared" si="0"/>
        <v>3</v>
      </c>
      <c r="G41" s="99">
        <v>1</v>
      </c>
      <c r="H41" s="99"/>
      <c r="I41" s="99"/>
      <c r="J41" s="98"/>
      <c r="K41" s="11"/>
      <c r="L41" s="76" t="s">
        <v>89</v>
      </c>
      <c r="N41" s="86"/>
      <c r="O41" s="1"/>
      <c r="P41" s="41"/>
      <c r="S41" s="16"/>
      <c r="V41" s="3">
        <v>0</v>
      </c>
      <c r="W41" s="38">
        <v>1</v>
      </c>
      <c r="X41" s="38"/>
    </row>
    <row r="42" spans="1:25" s="2" customFormat="1">
      <c r="A42" s="52">
        <v>18</v>
      </c>
      <c r="B42" s="69">
        <v>22</v>
      </c>
      <c r="C42" s="70">
        <v>152</v>
      </c>
      <c r="D42" s="96">
        <v>3</v>
      </c>
      <c r="E42" s="96">
        <v>25</v>
      </c>
      <c r="F42" s="98">
        <f t="shared" si="0"/>
        <v>75</v>
      </c>
      <c r="G42" s="96">
        <v>13</v>
      </c>
      <c r="H42" s="96"/>
      <c r="I42" s="96">
        <v>25</v>
      </c>
      <c r="J42" s="98">
        <f t="shared" si="1"/>
        <v>50</v>
      </c>
      <c r="K42" s="11">
        <v>18</v>
      </c>
      <c r="L42" s="51" t="s">
        <v>66</v>
      </c>
      <c r="M42" s="1"/>
      <c r="N42" s="83"/>
      <c r="O42" s="1" t="s">
        <v>86</v>
      </c>
      <c r="P42" s="41">
        <v>5213.4984999999997</v>
      </c>
      <c r="S42" s="9">
        <v>35</v>
      </c>
      <c r="V42" s="2">
        <v>3</v>
      </c>
      <c r="W42" s="36">
        <v>24</v>
      </c>
      <c r="X42" s="33">
        <v>16</v>
      </c>
      <c r="Y42" s="6">
        <v>2</v>
      </c>
    </row>
    <row r="43" spans="1:25" s="79" customFormat="1">
      <c r="A43" s="94">
        <v>18.3</v>
      </c>
      <c r="B43" s="69">
        <f>19+40.858/60</f>
        <v>19.680966666666666</v>
      </c>
      <c r="C43" s="70">
        <f>154+30.786/60</f>
        <v>154.51310000000001</v>
      </c>
      <c r="D43" s="96">
        <v>1</v>
      </c>
      <c r="E43" s="96">
        <v>13</v>
      </c>
      <c r="F43" s="98">
        <f t="shared" si="0"/>
        <v>39</v>
      </c>
      <c r="G43" s="96">
        <v>13</v>
      </c>
      <c r="H43" s="96"/>
      <c r="I43" s="96">
        <v>13</v>
      </c>
      <c r="J43" s="98">
        <f t="shared" si="1"/>
        <v>26</v>
      </c>
      <c r="K43" s="78"/>
      <c r="L43" s="14" t="s">
        <v>105</v>
      </c>
      <c r="M43" s="3" t="s">
        <v>103</v>
      </c>
      <c r="N43" s="87"/>
      <c r="O43" s="3"/>
      <c r="P43" s="30"/>
      <c r="S43" s="16"/>
      <c r="V43" s="79">
        <v>1</v>
      </c>
      <c r="W43" s="80">
        <v>12</v>
      </c>
      <c r="X43" s="38"/>
      <c r="Y43" s="49"/>
    </row>
    <row r="44" spans="1:25" s="2" customFormat="1">
      <c r="A44" s="52"/>
      <c r="B44" s="69"/>
      <c r="C44" s="70"/>
      <c r="D44" s="96"/>
      <c r="E44" s="96">
        <f>SUM(E12:E43)+E53+E59+E67</f>
        <v>532</v>
      </c>
      <c r="F44" s="98"/>
      <c r="G44" s="96"/>
      <c r="H44" s="96"/>
      <c r="I44" s="96"/>
      <c r="J44" s="98"/>
      <c r="K44" s="11"/>
      <c r="L44" s="51"/>
      <c r="M44" s="1"/>
      <c r="N44" s="83"/>
      <c r="O44" s="1"/>
      <c r="P44" s="41"/>
      <c r="S44" s="9"/>
      <c r="V44" s="2">
        <f>SUM(V9:V43)</f>
        <v>44</v>
      </c>
      <c r="W44" s="36">
        <f>SUM(W12:W43)+4*36</f>
        <v>546</v>
      </c>
      <c r="X44" s="33"/>
      <c r="Y44" s="6"/>
    </row>
    <row r="45" spans="1:25" s="2" customFormat="1">
      <c r="A45" s="52"/>
      <c r="B45" s="69"/>
      <c r="C45" s="70"/>
      <c r="D45" s="96"/>
      <c r="E45" s="96"/>
      <c r="F45" s="98"/>
      <c r="G45" s="96"/>
      <c r="H45" s="96"/>
      <c r="I45" s="96"/>
      <c r="J45" s="98"/>
      <c r="K45" s="11"/>
      <c r="L45" s="14"/>
      <c r="M45" s="26" t="s">
        <v>32</v>
      </c>
      <c r="N45" s="86"/>
      <c r="P45" s="41"/>
      <c r="S45" s="16">
        <v>60</v>
      </c>
      <c r="T45" s="30">
        <f>(363+SUM(S9:S42))/24</f>
        <v>32.5</v>
      </c>
      <c r="U45" s="28">
        <v>43394</v>
      </c>
      <c r="W45" s="33"/>
      <c r="X45" s="33"/>
    </row>
    <row r="46" spans="1:25" s="79" customFormat="1">
      <c r="A46" s="94">
        <v>18.600000000000001</v>
      </c>
      <c r="B46" s="69">
        <f>18+54.39/60</f>
        <v>18.906500000000001</v>
      </c>
      <c r="C46" s="70">
        <f>155+15.473/60</f>
        <v>155.25788333333333</v>
      </c>
      <c r="D46" s="96">
        <v>1</v>
      </c>
      <c r="E46" s="96">
        <v>9</v>
      </c>
      <c r="F46" s="98">
        <f t="shared" si="0"/>
        <v>27</v>
      </c>
      <c r="G46" s="96">
        <v>9</v>
      </c>
      <c r="H46" s="96"/>
      <c r="I46" s="96"/>
      <c r="J46" s="98"/>
      <c r="K46" s="78"/>
      <c r="L46" s="14" t="s">
        <v>106</v>
      </c>
      <c r="M46" s="3" t="s">
        <v>104</v>
      </c>
      <c r="N46" s="86"/>
      <c r="O46" s="3"/>
      <c r="P46" s="30"/>
      <c r="S46" s="16"/>
      <c r="T46" s="30"/>
      <c r="U46" s="81"/>
      <c r="V46" s="79">
        <v>1</v>
      </c>
      <c r="W46" s="38"/>
      <c r="X46" s="38"/>
    </row>
    <row r="47" spans="1:25" s="4" customFormat="1">
      <c r="A47" s="52">
        <v>19</v>
      </c>
      <c r="B47" s="69">
        <v>17.5</v>
      </c>
      <c r="C47" s="70">
        <v>152</v>
      </c>
      <c r="D47" s="96">
        <v>4</v>
      </c>
      <c r="E47" s="96">
        <v>37</v>
      </c>
      <c r="F47" s="98">
        <f t="shared" si="0"/>
        <v>111</v>
      </c>
      <c r="G47" s="96">
        <v>13</v>
      </c>
      <c r="H47" s="96"/>
      <c r="I47" s="96">
        <v>37</v>
      </c>
      <c r="J47" s="98">
        <f t="shared" si="1"/>
        <v>74</v>
      </c>
      <c r="K47" s="11">
        <v>19</v>
      </c>
      <c r="L47" s="6" t="s">
        <v>65</v>
      </c>
      <c r="M47" s="24" t="s">
        <v>53</v>
      </c>
      <c r="N47" s="86"/>
      <c r="O47" s="3" t="s">
        <v>101</v>
      </c>
      <c r="P47" s="41">
        <v>5186.0396000000001</v>
      </c>
      <c r="S47" s="9">
        <v>42</v>
      </c>
      <c r="V47" s="4">
        <v>4</v>
      </c>
      <c r="W47" s="35">
        <v>36</v>
      </c>
      <c r="X47" s="33">
        <v>16</v>
      </c>
      <c r="Y47" s="6">
        <v>2</v>
      </c>
    </row>
    <row r="48" spans="1:25" s="4" customFormat="1">
      <c r="A48" s="52">
        <v>19.5</v>
      </c>
      <c r="B48" s="77">
        <f>(B47+B49)/2</f>
        <v>15.875</v>
      </c>
      <c r="C48" s="74">
        <f>(C47+C49)/2</f>
        <v>152</v>
      </c>
      <c r="D48" s="99"/>
      <c r="E48" s="99">
        <v>1</v>
      </c>
      <c r="F48" s="98">
        <f t="shared" si="0"/>
        <v>3</v>
      </c>
      <c r="G48" s="99">
        <v>1</v>
      </c>
      <c r="H48" s="99"/>
      <c r="I48" s="99"/>
      <c r="J48" s="98"/>
      <c r="K48" s="11"/>
      <c r="L48" s="76" t="s">
        <v>89</v>
      </c>
      <c r="M48" s="24"/>
      <c r="N48" s="86"/>
      <c r="O48" s="3"/>
      <c r="P48" s="41"/>
      <c r="S48" s="9"/>
      <c r="V48" s="4">
        <v>0</v>
      </c>
      <c r="W48" s="35"/>
      <c r="X48" s="33"/>
      <c r="Y48" s="6"/>
    </row>
    <row r="49" spans="1:25" s="4" customFormat="1">
      <c r="A49" s="52">
        <v>20</v>
      </c>
      <c r="B49" s="74">
        <v>14.25</v>
      </c>
      <c r="C49" s="75">
        <v>152</v>
      </c>
      <c r="D49" s="100">
        <v>1</v>
      </c>
      <c r="E49" s="100">
        <v>13</v>
      </c>
      <c r="F49" s="98">
        <f t="shared" si="0"/>
        <v>39</v>
      </c>
      <c r="G49" s="100">
        <v>13</v>
      </c>
      <c r="H49" s="100"/>
      <c r="I49" s="100"/>
      <c r="J49" s="98"/>
      <c r="K49" s="11">
        <v>20</v>
      </c>
      <c r="L49" s="14" t="s">
        <v>6</v>
      </c>
      <c r="M49" s="3"/>
      <c r="N49" s="86"/>
      <c r="O49" s="3" t="s">
        <v>102</v>
      </c>
      <c r="P49" s="41">
        <v>5748.9804999999997</v>
      </c>
      <c r="S49" s="16">
        <v>2</v>
      </c>
      <c r="V49" s="4">
        <v>1</v>
      </c>
      <c r="W49" s="39"/>
      <c r="X49" s="33"/>
      <c r="Y49" s="6"/>
    </row>
    <row r="50" spans="1:25" s="4" customFormat="1">
      <c r="A50" s="52">
        <v>20.5</v>
      </c>
      <c r="B50" s="77">
        <f>(B49+B51)/2</f>
        <v>12.625</v>
      </c>
      <c r="C50" s="74">
        <f>(C49+C51)/2</f>
        <v>152</v>
      </c>
      <c r="D50" s="99"/>
      <c r="E50" s="99">
        <v>1</v>
      </c>
      <c r="F50" s="98">
        <f t="shared" si="0"/>
        <v>3</v>
      </c>
      <c r="G50" s="99">
        <v>1</v>
      </c>
      <c r="H50" s="99"/>
      <c r="I50" s="99"/>
      <c r="J50" s="98"/>
      <c r="K50" s="11"/>
      <c r="L50" s="76" t="s">
        <v>89</v>
      </c>
      <c r="M50" s="3"/>
      <c r="N50" s="86"/>
      <c r="O50" s="3"/>
      <c r="P50" s="41"/>
      <c r="S50" s="16"/>
      <c r="V50" s="4">
        <v>0</v>
      </c>
      <c r="W50" s="39"/>
      <c r="X50" s="33"/>
      <c r="Y50" s="6"/>
    </row>
    <row r="51" spans="1:25">
      <c r="A51" s="52">
        <v>21</v>
      </c>
      <c r="B51" s="72">
        <v>11</v>
      </c>
      <c r="C51" s="70">
        <v>152</v>
      </c>
      <c r="D51" s="96">
        <v>4</v>
      </c>
      <c r="E51" s="96">
        <v>37</v>
      </c>
      <c r="F51" s="98">
        <f t="shared" si="0"/>
        <v>111</v>
      </c>
      <c r="G51" s="96">
        <v>13</v>
      </c>
      <c r="H51" s="96"/>
      <c r="I51" s="96">
        <v>37</v>
      </c>
      <c r="J51" s="98">
        <f t="shared" si="1"/>
        <v>74</v>
      </c>
      <c r="K51" s="11">
        <v>21</v>
      </c>
      <c r="L51" s="6" t="s">
        <v>65</v>
      </c>
      <c r="M51" s="24" t="s">
        <v>54</v>
      </c>
      <c r="P51" s="41">
        <v>5329.6562000000004</v>
      </c>
      <c r="S51" s="9">
        <v>42</v>
      </c>
      <c r="V51" s="4">
        <v>4</v>
      </c>
      <c r="W51" s="35">
        <v>36</v>
      </c>
      <c r="X51" s="33">
        <v>16</v>
      </c>
      <c r="Y51" s="6">
        <v>2</v>
      </c>
    </row>
    <row r="52" spans="1:25">
      <c r="A52" s="52">
        <v>22</v>
      </c>
      <c r="B52" s="72">
        <v>9.25</v>
      </c>
      <c r="C52" s="70">
        <v>152</v>
      </c>
      <c r="D52" s="96">
        <v>1</v>
      </c>
      <c r="E52" s="96">
        <v>13</v>
      </c>
      <c r="F52" s="98">
        <f t="shared" si="0"/>
        <v>39</v>
      </c>
      <c r="G52" s="96">
        <v>1</v>
      </c>
      <c r="H52" s="96"/>
      <c r="I52" s="96"/>
      <c r="J52" s="98"/>
      <c r="K52" s="11">
        <v>22</v>
      </c>
      <c r="L52" s="14" t="s">
        <v>6</v>
      </c>
      <c r="M52" s="3"/>
      <c r="N52" s="86"/>
      <c r="O52" s="3"/>
      <c r="P52" s="41">
        <v>5173.7</v>
      </c>
      <c r="S52" s="16">
        <v>2</v>
      </c>
      <c r="V52" s="4">
        <v>1</v>
      </c>
      <c r="W52" s="39"/>
      <c r="X52" s="33"/>
    </row>
    <row r="53" spans="1:25" s="3" customFormat="1">
      <c r="A53" s="52">
        <v>23</v>
      </c>
      <c r="B53" s="69">
        <v>7.5</v>
      </c>
      <c r="C53" s="70">
        <v>152</v>
      </c>
      <c r="D53" s="96">
        <v>4</v>
      </c>
      <c r="E53" s="96">
        <v>37</v>
      </c>
      <c r="F53" s="98">
        <f t="shared" si="0"/>
        <v>111</v>
      </c>
      <c r="G53" s="96">
        <v>13</v>
      </c>
      <c r="H53" s="96"/>
      <c r="I53" s="96">
        <v>37</v>
      </c>
      <c r="J53" s="98">
        <f t="shared" si="1"/>
        <v>74</v>
      </c>
      <c r="K53" s="11">
        <v>23</v>
      </c>
      <c r="L53" s="4" t="s">
        <v>5</v>
      </c>
      <c r="M53" s="7" t="s">
        <v>19</v>
      </c>
      <c r="N53" s="88"/>
      <c r="O53" s="4"/>
      <c r="P53" s="41">
        <v>5204.3360000000002</v>
      </c>
      <c r="S53" s="9">
        <v>52</v>
      </c>
      <c r="T53"/>
      <c r="V53" s="3">
        <v>4</v>
      </c>
      <c r="W53" s="37">
        <v>36</v>
      </c>
      <c r="X53" s="37">
        <v>24</v>
      </c>
      <c r="Y53" s="32">
        <v>3</v>
      </c>
    </row>
    <row r="54" spans="1:25" s="3" customFormat="1">
      <c r="A54" s="52">
        <v>24</v>
      </c>
      <c r="B54" s="69">
        <v>6.25</v>
      </c>
      <c r="C54" s="70">
        <v>152</v>
      </c>
      <c r="D54" s="96"/>
      <c r="E54" s="96">
        <v>1</v>
      </c>
      <c r="F54" s="98">
        <f t="shared" si="0"/>
        <v>3</v>
      </c>
      <c r="G54" s="96">
        <v>1</v>
      </c>
      <c r="H54" s="96"/>
      <c r="I54" s="96"/>
      <c r="J54" s="98"/>
      <c r="K54" s="11">
        <v>24</v>
      </c>
      <c r="L54" s="76" t="s">
        <v>107</v>
      </c>
      <c r="N54" s="86"/>
      <c r="P54" s="41">
        <v>5065.7494999999999</v>
      </c>
      <c r="S54" s="16">
        <v>2</v>
      </c>
      <c r="V54" s="3">
        <v>0</v>
      </c>
      <c r="W54" s="39"/>
      <c r="X54" s="38"/>
    </row>
    <row r="55" spans="1:25" s="2" customFormat="1">
      <c r="A55" s="52">
        <v>25</v>
      </c>
      <c r="B55" s="69">
        <v>5</v>
      </c>
      <c r="C55" s="70">
        <v>152</v>
      </c>
      <c r="D55" s="96">
        <v>4</v>
      </c>
      <c r="E55" s="96">
        <v>37</v>
      </c>
      <c r="F55" s="98">
        <f t="shared" si="0"/>
        <v>111</v>
      </c>
      <c r="G55" s="96">
        <v>13</v>
      </c>
      <c r="H55" s="96"/>
      <c r="I55" s="96">
        <v>37</v>
      </c>
      <c r="J55" s="98">
        <f t="shared" si="1"/>
        <v>74</v>
      </c>
      <c r="K55" s="11">
        <v>25</v>
      </c>
      <c r="L55" s="6" t="s">
        <v>65</v>
      </c>
      <c r="M55" s="1" t="s">
        <v>108</v>
      </c>
      <c r="N55" s="83"/>
      <c r="P55" s="41">
        <v>4949.7163</v>
      </c>
      <c r="S55" s="9">
        <v>42</v>
      </c>
      <c r="V55" s="2">
        <v>4</v>
      </c>
      <c r="W55" s="35">
        <v>36</v>
      </c>
      <c r="X55" s="33">
        <v>16</v>
      </c>
      <c r="Y55" s="6">
        <v>2</v>
      </c>
    </row>
    <row r="56" spans="1:25" s="3" customFormat="1">
      <c r="A56" s="52">
        <v>26</v>
      </c>
      <c r="B56" s="69">
        <v>3.75</v>
      </c>
      <c r="C56" s="70">
        <v>152</v>
      </c>
      <c r="D56" s="96"/>
      <c r="E56" s="96">
        <v>1</v>
      </c>
      <c r="F56" s="98">
        <f t="shared" si="0"/>
        <v>3</v>
      </c>
      <c r="G56" s="96">
        <v>1</v>
      </c>
      <c r="H56" s="96"/>
      <c r="I56" s="96"/>
      <c r="J56" s="98"/>
      <c r="K56" s="11">
        <v>26</v>
      </c>
      <c r="L56" s="76" t="s">
        <v>107</v>
      </c>
      <c r="N56" s="86"/>
      <c r="P56" s="41">
        <v>4766.26</v>
      </c>
      <c r="S56" s="16">
        <v>2</v>
      </c>
      <c r="V56" s="3">
        <v>0</v>
      </c>
      <c r="W56" s="39"/>
      <c r="X56" s="38"/>
      <c r="Y56" s="49"/>
    </row>
    <row r="57" spans="1:25" s="3" customFormat="1">
      <c r="A57" s="52">
        <v>27</v>
      </c>
      <c r="B57" s="69">
        <v>2.5</v>
      </c>
      <c r="C57" s="70">
        <v>152</v>
      </c>
      <c r="D57" s="96">
        <v>4</v>
      </c>
      <c r="E57" s="96">
        <v>37</v>
      </c>
      <c r="F57" s="98">
        <f t="shared" si="0"/>
        <v>111</v>
      </c>
      <c r="G57" s="96">
        <v>13</v>
      </c>
      <c r="H57" s="96"/>
      <c r="I57" s="96">
        <v>37</v>
      </c>
      <c r="J57" s="98">
        <f t="shared" si="1"/>
        <v>74</v>
      </c>
      <c r="K57" s="11">
        <v>27</v>
      </c>
      <c r="L57" s="6" t="s">
        <v>65</v>
      </c>
      <c r="N57" s="86"/>
      <c r="O57" s="1" t="s">
        <v>93</v>
      </c>
      <c r="P57" s="41">
        <v>4829.8490000000002</v>
      </c>
      <c r="S57" s="9">
        <v>42</v>
      </c>
      <c r="V57" s="3">
        <v>4</v>
      </c>
      <c r="W57" s="35">
        <v>36</v>
      </c>
      <c r="X57" s="38">
        <v>16</v>
      </c>
      <c r="Y57" s="49">
        <v>2</v>
      </c>
    </row>
    <row r="58" spans="1:25" s="3" customFormat="1">
      <c r="A58" s="52">
        <v>28</v>
      </c>
      <c r="B58" s="69">
        <v>1.25</v>
      </c>
      <c r="C58" s="70">
        <v>152</v>
      </c>
      <c r="D58" s="96"/>
      <c r="E58" s="96">
        <v>1</v>
      </c>
      <c r="F58" s="98">
        <f t="shared" si="0"/>
        <v>3</v>
      </c>
      <c r="G58" s="96">
        <v>1</v>
      </c>
      <c r="H58" s="96"/>
      <c r="I58" s="96"/>
      <c r="J58" s="98"/>
      <c r="K58" s="11">
        <v>28</v>
      </c>
      <c r="L58" s="76" t="s">
        <v>107</v>
      </c>
      <c r="N58" s="86"/>
      <c r="P58" s="41">
        <v>4200.0106999999998</v>
      </c>
      <c r="S58" s="16">
        <v>2</v>
      </c>
      <c r="V58" s="3">
        <v>0</v>
      </c>
      <c r="W58" s="39"/>
      <c r="X58" s="38"/>
    </row>
    <row r="59" spans="1:25" s="2" customFormat="1">
      <c r="A59" s="52">
        <v>29</v>
      </c>
      <c r="B59" s="69">
        <v>0</v>
      </c>
      <c r="C59" s="70">
        <v>152</v>
      </c>
      <c r="D59" s="96">
        <v>4</v>
      </c>
      <c r="E59" s="96">
        <v>37</v>
      </c>
      <c r="F59" s="98">
        <f t="shared" si="0"/>
        <v>111</v>
      </c>
      <c r="G59" s="96">
        <v>13</v>
      </c>
      <c r="H59" s="96"/>
      <c r="I59" s="96">
        <v>37</v>
      </c>
      <c r="J59" s="98">
        <f t="shared" si="1"/>
        <v>74</v>
      </c>
      <c r="K59" s="11">
        <v>29</v>
      </c>
      <c r="L59" s="4" t="s">
        <v>5</v>
      </c>
      <c r="M59" s="1" t="s">
        <v>55</v>
      </c>
      <c r="N59" s="89" t="s">
        <v>95</v>
      </c>
      <c r="O59" s="1" t="s">
        <v>94</v>
      </c>
      <c r="P59" s="41">
        <v>4347.4624000000003</v>
      </c>
      <c r="S59" s="9">
        <v>52</v>
      </c>
      <c r="V59" s="2">
        <v>4</v>
      </c>
      <c r="W59" s="37">
        <v>36</v>
      </c>
      <c r="X59" s="37">
        <v>24</v>
      </c>
      <c r="Y59" s="31">
        <v>3</v>
      </c>
    </row>
    <row r="60" spans="1:25" s="3" customFormat="1">
      <c r="A60" s="52">
        <v>30</v>
      </c>
      <c r="B60" s="69">
        <v>-1.25</v>
      </c>
      <c r="C60" s="70">
        <v>152</v>
      </c>
      <c r="D60" s="96"/>
      <c r="E60" s="96">
        <v>1</v>
      </c>
      <c r="F60" s="98">
        <f t="shared" si="0"/>
        <v>3</v>
      </c>
      <c r="G60" s="96">
        <v>1</v>
      </c>
      <c r="H60" s="96"/>
      <c r="I60" s="96"/>
      <c r="J60" s="98"/>
      <c r="K60" s="11">
        <v>30</v>
      </c>
      <c r="L60" s="76" t="s">
        <v>107</v>
      </c>
      <c r="N60" s="86"/>
      <c r="P60" s="41">
        <v>4830.9610000000002</v>
      </c>
      <c r="S60" s="16">
        <v>2</v>
      </c>
      <c r="V60" s="3">
        <v>0</v>
      </c>
      <c r="W60" s="39"/>
      <c r="X60" s="38"/>
    </row>
    <row r="61" spans="1:25" s="3" customFormat="1">
      <c r="A61" s="52">
        <v>31</v>
      </c>
      <c r="B61" s="69">
        <v>-2.5</v>
      </c>
      <c r="C61" s="70">
        <v>152</v>
      </c>
      <c r="D61" s="96">
        <v>4</v>
      </c>
      <c r="E61" s="96">
        <v>37</v>
      </c>
      <c r="F61" s="98">
        <f t="shared" si="0"/>
        <v>111</v>
      </c>
      <c r="G61" s="96">
        <v>13</v>
      </c>
      <c r="H61" s="96"/>
      <c r="I61" s="96">
        <v>37</v>
      </c>
      <c r="J61" s="98">
        <f t="shared" si="1"/>
        <v>74</v>
      </c>
      <c r="K61" s="11">
        <v>31</v>
      </c>
      <c r="L61" s="6" t="s">
        <v>65</v>
      </c>
      <c r="N61" s="82" t="s">
        <v>96</v>
      </c>
      <c r="O61" s="1" t="s">
        <v>95</v>
      </c>
      <c r="P61" s="41">
        <v>4664.1480000000001</v>
      </c>
      <c r="S61" s="9">
        <v>42</v>
      </c>
      <c r="V61" s="3">
        <v>4</v>
      </c>
      <c r="W61" s="35">
        <v>36</v>
      </c>
      <c r="X61" s="38">
        <v>16</v>
      </c>
      <c r="Y61" s="49">
        <v>2</v>
      </c>
    </row>
    <row r="62" spans="1:25" s="4" customFormat="1">
      <c r="A62" s="52">
        <v>32</v>
      </c>
      <c r="B62" s="69">
        <v>-3.75</v>
      </c>
      <c r="C62" s="70">
        <v>152</v>
      </c>
      <c r="D62" s="96"/>
      <c r="E62" s="96">
        <v>1</v>
      </c>
      <c r="F62" s="98">
        <f t="shared" si="0"/>
        <v>3</v>
      </c>
      <c r="G62" s="96">
        <v>1</v>
      </c>
      <c r="H62" s="96"/>
      <c r="I62" s="96"/>
      <c r="J62" s="98"/>
      <c r="K62" s="11">
        <v>32</v>
      </c>
      <c r="L62" s="76" t="s">
        <v>107</v>
      </c>
      <c r="M62" s="3"/>
      <c r="N62" s="86"/>
      <c r="O62" s="3"/>
      <c r="P62" s="41">
        <v>4828.8620000000001</v>
      </c>
      <c r="S62" s="16">
        <v>2</v>
      </c>
      <c r="V62" s="4">
        <v>0</v>
      </c>
      <c r="W62" s="39"/>
      <c r="X62" s="33"/>
      <c r="Y62" s="6"/>
    </row>
    <row r="63" spans="1:25" s="2" customFormat="1">
      <c r="A63" s="52">
        <v>33</v>
      </c>
      <c r="B63" s="69">
        <v>-5</v>
      </c>
      <c r="C63" s="70">
        <v>152</v>
      </c>
      <c r="D63" s="96">
        <v>4</v>
      </c>
      <c r="E63" s="96">
        <v>37</v>
      </c>
      <c r="F63" s="98">
        <f t="shared" si="0"/>
        <v>111</v>
      </c>
      <c r="G63" s="96">
        <v>13</v>
      </c>
      <c r="H63" s="96"/>
      <c r="I63" s="96">
        <v>37</v>
      </c>
      <c r="J63" s="98">
        <f t="shared" si="1"/>
        <v>74</v>
      </c>
      <c r="K63" s="11">
        <v>33</v>
      </c>
      <c r="L63" s="6" t="s">
        <v>65</v>
      </c>
      <c r="M63" s="1"/>
      <c r="N63" s="83"/>
      <c r="O63" s="1" t="s">
        <v>96</v>
      </c>
      <c r="P63" s="41">
        <v>5143.3670000000002</v>
      </c>
      <c r="S63" s="9">
        <v>42</v>
      </c>
      <c r="V63" s="2">
        <v>4</v>
      </c>
      <c r="W63" s="35">
        <v>36</v>
      </c>
      <c r="X63" s="33">
        <v>16</v>
      </c>
      <c r="Y63" s="6">
        <v>2</v>
      </c>
    </row>
    <row r="64" spans="1:25" s="4" customFormat="1">
      <c r="A64" s="52">
        <v>33.5</v>
      </c>
      <c r="B64" s="77">
        <f>(B63+B65)/2</f>
        <v>-6.25</v>
      </c>
      <c r="C64" s="74">
        <f>(C63+C65)/2</f>
        <v>152</v>
      </c>
      <c r="D64" s="99"/>
      <c r="E64" s="99">
        <v>1</v>
      </c>
      <c r="F64" s="98">
        <f t="shared" si="0"/>
        <v>3</v>
      </c>
      <c r="G64" s="99">
        <v>1</v>
      </c>
      <c r="H64" s="99"/>
      <c r="I64" s="99"/>
      <c r="J64" s="98"/>
      <c r="K64" s="11"/>
      <c r="L64" s="76" t="s">
        <v>89</v>
      </c>
      <c r="M64" s="3"/>
      <c r="N64" s="86"/>
      <c r="O64" s="3"/>
      <c r="P64" s="41"/>
      <c r="S64" s="16"/>
      <c r="V64" s="4">
        <v>0</v>
      </c>
      <c r="W64" s="39"/>
      <c r="X64" s="33"/>
      <c r="Y64" s="6"/>
    </row>
    <row r="65" spans="1:28" s="3" customFormat="1">
      <c r="A65" s="52">
        <v>34</v>
      </c>
      <c r="B65" s="69">
        <v>-7.5</v>
      </c>
      <c r="C65" s="70">
        <v>152</v>
      </c>
      <c r="D65" s="96">
        <v>1</v>
      </c>
      <c r="E65" s="96">
        <v>13</v>
      </c>
      <c r="F65" s="98">
        <f t="shared" si="0"/>
        <v>39</v>
      </c>
      <c r="G65" s="96">
        <v>13</v>
      </c>
      <c r="H65" s="96"/>
      <c r="I65" s="96"/>
      <c r="J65" s="98"/>
      <c r="K65" s="11">
        <v>34</v>
      </c>
      <c r="L65" s="14" t="s">
        <v>6</v>
      </c>
      <c r="N65" s="86"/>
      <c r="P65" s="41">
        <v>4934.5337</v>
      </c>
      <c r="S65" s="16">
        <v>2</v>
      </c>
      <c r="V65" s="3">
        <v>1</v>
      </c>
      <c r="W65" s="39"/>
      <c r="X65" s="38"/>
    </row>
    <row r="66" spans="1:28" s="4" customFormat="1">
      <c r="A66" s="52">
        <v>34.5</v>
      </c>
      <c r="B66" s="77">
        <f>(B65+B67)/2</f>
        <v>-9</v>
      </c>
      <c r="C66" s="74">
        <f>(C65+C67)/2</f>
        <v>152</v>
      </c>
      <c r="D66" s="99"/>
      <c r="E66" s="99">
        <v>1</v>
      </c>
      <c r="F66" s="98">
        <f t="shared" si="0"/>
        <v>3</v>
      </c>
      <c r="G66" s="99">
        <v>1</v>
      </c>
      <c r="H66" s="99"/>
      <c r="I66" s="99"/>
      <c r="J66" s="98"/>
      <c r="K66" s="11"/>
      <c r="L66" s="76" t="s">
        <v>89</v>
      </c>
      <c r="M66" s="3"/>
      <c r="N66" s="86"/>
      <c r="O66" s="3"/>
      <c r="P66" s="41"/>
      <c r="S66" s="16"/>
      <c r="V66" s="4">
        <v>0</v>
      </c>
      <c r="W66" s="39"/>
      <c r="X66" s="33"/>
      <c r="Y66" s="6"/>
    </row>
    <row r="67" spans="1:28" s="2" customFormat="1">
      <c r="A67" s="52">
        <v>35</v>
      </c>
      <c r="B67" s="71">
        <v>-10.5</v>
      </c>
      <c r="C67" s="71">
        <v>152</v>
      </c>
      <c r="D67" s="101">
        <v>4</v>
      </c>
      <c r="E67" s="101">
        <v>37</v>
      </c>
      <c r="F67" s="98">
        <f t="shared" si="0"/>
        <v>111</v>
      </c>
      <c r="G67" s="101">
        <v>13</v>
      </c>
      <c r="H67" s="101"/>
      <c r="I67" s="101">
        <v>37</v>
      </c>
      <c r="J67" s="98">
        <f t="shared" si="1"/>
        <v>74</v>
      </c>
      <c r="K67" s="12">
        <v>35</v>
      </c>
      <c r="L67" s="4" t="s">
        <v>5</v>
      </c>
      <c r="M67" s="8" t="s">
        <v>20</v>
      </c>
      <c r="N67" s="90"/>
      <c r="O67" s="10"/>
      <c r="P67" s="41">
        <v>4998.299</v>
      </c>
      <c r="S67" s="9">
        <v>52</v>
      </c>
      <c r="V67" s="2">
        <v>4</v>
      </c>
      <c r="W67" s="37">
        <v>36</v>
      </c>
      <c r="X67" s="37">
        <v>24</v>
      </c>
      <c r="Y67" s="31">
        <v>3</v>
      </c>
    </row>
    <row r="68" spans="1:28" s="4" customFormat="1">
      <c r="A68" s="52">
        <v>35.5</v>
      </c>
      <c r="B68" s="77">
        <f>(B67+B69)/2</f>
        <v>-11.625</v>
      </c>
      <c r="C68" s="74">
        <f>(C67+C69)/2</f>
        <v>152</v>
      </c>
      <c r="D68" s="99"/>
      <c r="E68" s="99">
        <v>1</v>
      </c>
      <c r="F68" s="98">
        <f t="shared" si="0"/>
        <v>3</v>
      </c>
      <c r="G68" s="99">
        <v>1</v>
      </c>
      <c r="H68" s="99"/>
      <c r="I68" s="99"/>
      <c r="J68" s="98"/>
      <c r="K68" s="11"/>
      <c r="L68" s="76" t="s">
        <v>89</v>
      </c>
      <c r="M68" s="3"/>
      <c r="N68" s="86"/>
      <c r="O68" s="3"/>
      <c r="P68" s="41"/>
      <c r="S68" s="16"/>
      <c r="V68" s="4">
        <v>0</v>
      </c>
      <c r="W68" s="39"/>
      <c r="X68" s="33"/>
      <c r="Y68" s="6"/>
    </row>
    <row r="69" spans="1:28">
      <c r="A69" s="52">
        <v>36</v>
      </c>
      <c r="B69" s="69">
        <v>-12.75</v>
      </c>
      <c r="C69" s="70">
        <v>152</v>
      </c>
      <c r="D69" s="96">
        <v>1</v>
      </c>
      <c r="E69" s="96">
        <v>13</v>
      </c>
      <c r="F69" s="98">
        <f t="shared" si="0"/>
        <v>39</v>
      </c>
      <c r="G69" s="96">
        <v>13</v>
      </c>
      <c r="H69" s="96"/>
      <c r="I69" s="96"/>
      <c r="J69" s="98"/>
      <c r="K69" s="11">
        <v>36</v>
      </c>
      <c r="L69" s="14" t="s">
        <v>6</v>
      </c>
      <c r="M69" s="3"/>
      <c r="N69" s="86"/>
      <c r="O69" s="3"/>
      <c r="P69" s="41">
        <v>5073.1206000000002</v>
      </c>
      <c r="S69" s="16">
        <v>2</v>
      </c>
      <c r="V69" s="4">
        <v>1</v>
      </c>
      <c r="W69" s="33"/>
      <c r="X69" s="33"/>
    </row>
    <row r="70" spans="1:28" s="4" customFormat="1">
      <c r="A70" s="52">
        <v>36.5</v>
      </c>
      <c r="B70" s="77">
        <f>(B69+B71)/2</f>
        <v>-13.875</v>
      </c>
      <c r="C70" s="74">
        <f>(C69+C71)/2</f>
        <v>152</v>
      </c>
      <c r="D70" s="99"/>
      <c r="E70" s="99">
        <v>1</v>
      </c>
      <c r="F70" s="98">
        <f t="shared" si="0"/>
        <v>3</v>
      </c>
      <c r="G70" s="99">
        <v>1</v>
      </c>
      <c r="H70" s="99"/>
      <c r="I70" s="99"/>
      <c r="J70" s="98"/>
      <c r="K70" s="11"/>
      <c r="L70" s="76" t="s">
        <v>89</v>
      </c>
      <c r="M70" s="3"/>
      <c r="N70" s="86"/>
      <c r="O70" s="3"/>
      <c r="P70" s="41"/>
      <c r="S70" s="16"/>
      <c r="V70" s="4">
        <v>0</v>
      </c>
      <c r="W70" s="39"/>
      <c r="X70" s="33"/>
      <c r="Y70" s="6"/>
    </row>
    <row r="71" spans="1:28" s="8" customFormat="1">
      <c r="A71" s="53">
        <v>37</v>
      </c>
      <c r="B71" s="71">
        <v>-15</v>
      </c>
      <c r="C71" s="70">
        <v>152</v>
      </c>
      <c r="D71" s="96">
        <v>4</v>
      </c>
      <c r="E71" s="96">
        <v>37</v>
      </c>
      <c r="F71" s="98">
        <f t="shared" si="0"/>
        <v>111</v>
      </c>
      <c r="G71" s="96">
        <v>13</v>
      </c>
      <c r="H71" s="96"/>
      <c r="I71" s="96">
        <v>37</v>
      </c>
      <c r="J71" s="98">
        <v>37</v>
      </c>
      <c r="K71" s="11">
        <v>37</v>
      </c>
      <c r="L71" s="51" t="s">
        <v>66</v>
      </c>
      <c r="M71" s="17" t="s">
        <v>110</v>
      </c>
      <c r="N71" s="85"/>
      <c r="P71" s="41">
        <v>4609.4507000000003</v>
      </c>
      <c r="S71" s="9">
        <v>35</v>
      </c>
      <c r="V71" s="107">
        <v>4</v>
      </c>
      <c r="W71" s="40">
        <v>24</v>
      </c>
      <c r="X71" s="35">
        <v>16</v>
      </c>
      <c r="Y71" s="48">
        <v>2</v>
      </c>
    </row>
    <row r="72" spans="1:28" s="4" customFormat="1">
      <c r="A72" s="52">
        <v>37.5</v>
      </c>
      <c r="B72" s="77">
        <f>(B71+B73)/2</f>
        <v>-16.25</v>
      </c>
      <c r="C72" s="74">
        <f>(C71+C73)/2</f>
        <v>152</v>
      </c>
      <c r="D72" s="99"/>
      <c r="E72" s="99">
        <v>1</v>
      </c>
      <c r="F72" s="98">
        <f t="shared" si="0"/>
        <v>3</v>
      </c>
      <c r="G72" s="99">
        <v>1</v>
      </c>
      <c r="H72" s="99"/>
      <c r="I72" s="99"/>
      <c r="J72" s="98"/>
      <c r="K72" s="11"/>
      <c r="L72" s="76" t="s">
        <v>89</v>
      </c>
      <c r="M72" s="3"/>
      <c r="N72" s="86"/>
      <c r="O72" s="3"/>
      <c r="P72" s="41"/>
      <c r="S72" s="16"/>
      <c r="V72" s="4">
        <v>0</v>
      </c>
      <c r="W72" s="39"/>
      <c r="X72" s="33"/>
      <c r="Y72" s="6"/>
    </row>
    <row r="73" spans="1:28">
      <c r="A73" s="53">
        <v>38</v>
      </c>
      <c r="B73" s="69">
        <v>-17.5</v>
      </c>
      <c r="C73" s="70">
        <v>152</v>
      </c>
      <c r="D73" s="96">
        <v>1</v>
      </c>
      <c r="E73" s="96">
        <v>13</v>
      </c>
      <c r="F73" s="98">
        <f t="shared" si="0"/>
        <v>39</v>
      </c>
      <c r="G73" s="96">
        <v>13</v>
      </c>
      <c r="H73" s="96"/>
      <c r="I73" s="96"/>
      <c r="J73" s="98"/>
      <c r="K73" s="11">
        <v>38</v>
      </c>
      <c r="L73" s="14" t="s">
        <v>6</v>
      </c>
      <c r="M73" s="3"/>
      <c r="N73" s="86"/>
      <c r="O73" s="3"/>
      <c r="P73" s="41">
        <v>4371.1977999999999</v>
      </c>
      <c r="S73" s="16">
        <v>2</v>
      </c>
      <c r="V73" s="4">
        <v>1</v>
      </c>
      <c r="W73" s="33"/>
      <c r="X73" s="33"/>
    </row>
    <row r="74" spans="1:28" s="4" customFormat="1">
      <c r="A74" s="52">
        <v>38.5</v>
      </c>
      <c r="B74" s="77">
        <f>(B73+B75)/2</f>
        <v>-18.75</v>
      </c>
      <c r="C74" s="74">
        <f>(C73+C75)/2</f>
        <v>152</v>
      </c>
      <c r="D74" s="99"/>
      <c r="E74" s="99">
        <v>1</v>
      </c>
      <c r="F74" s="98">
        <f t="shared" si="0"/>
        <v>3</v>
      </c>
      <c r="G74" s="99">
        <v>1</v>
      </c>
      <c r="H74" s="99"/>
      <c r="I74" s="99"/>
      <c r="J74" s="98"/>
      <c r="K74" s="11"/>
      <c r="L74" s="76" t="s">
        <v>89</v>
      </c>
      <c r="M74" s="3"/>
      <c r="N74" s="86"/>
      <c r="O74" s="3"/>
      <c r="P74" s="41"/>
      <c r="S74" s="16"/>
      <c r="V74" s="4">
        <v>0</v>
      </c>
      <c r="W74" s="39"/>
      <c r="X74" s="33"/>
      <c r="Y74" s="6"/>
    </row>
    <row r="75" spans="1:28" s="10" customFormat="1">
      <c r="A75" s="53">
        <v>39</v>
      </c>
      <c r="B75" s="73">
        <v>-20</v>
      </c>
      <c r="C75" s="73">
        <v>152</v>
      </c>
      <c r="D75" s="98">
        <v>4</v>
      </c>
      <c r="E75" s="98">
        <v>37</v>
      </c>
      <c r="F75" s="98">
        <f t="shared" si="0"/>
        <v>111</v>
      </c>
      <c r="G75" s="100">
        <v>13</v>
      </c>
      <c r="H75" s="100"/>
      <c r="I75" s="98">
        <v>37</v>
      </c>
      <c r="J75" s="98">
        <f t="shared" si="1"/>
        <v>74</v>
      </c>
      <c r="K75" s="65">
        <v>39</v>
      </c>
      <c r="L75" s="6" t="s">
        <v>65</v>
      </c>
      <c r="M75" s="17" t="s">
        <v>111</v>
      </c>
      <c r="N75" s="90"/>
      <c r="P75" s="41">
        <v>4330.3900000000003</v>
      </c>
      <c r="S75" s="9">
        <v>42</v>
      </c>
      <c r="T75" s="30">
        <f>(256+SUM(S47:S75))/24</f>
        <v>31.708333333333332</v>
      </c>
      <c r="V75" s="10">
        <v>4</v>
      </c>
      <c r="W75" s="35">
        <v>36</v>
      </c>
      <c r="X75" s="35">
        <v>16</v>
      </c>
      <c r="Y75" s="47">
        <v>2</v>
      </c>
    </row>
    <row r="77" spans="1:28">
      <c r="A77" t="s">
        <v>3</v>
      </c>
      <c r="B77">
        <v>-17.53</v>
      </c>
      <c r="C77">
        <v>149.57</v>
      </c>
      <c r="D77" s="102">
        <f>SUM(D10:D75)</f>
        <v>93</v>
      </c>
      <c r="E77" s="102">
        <f t="shared" ref="E77:J77" si="2">SUM(E12:E75)</f>
        <v>1447</v>
      </c>
      <c r="F77" s="102">
        <f t="shared" si="2"/>
        <v>2745</v>
      </c>
      <c r="G77" s="102">
        <f t="shared" si="2"/>
        <v>471</v>
      </c>
      <c r="H77" s="102">
        <f t="shared" si="2"/>
        <v>0</v>
      </c>
      <c r="I77" s="102">
        <f t="shared" si="2"/>
        <v>738</v>
      </c>
      <c r="J77" s="102">
        <f t="shared" si="2"/>
        <v>1439</v>
      </c>
      <c r="K77"/>
      <c r="U77" s="29">
        <v>43428</v>
      </c>
      <c r="V77">
        <f>SUM(V46:V75)</f>
        <v>50</v>
      </c>
    </row>
    <row r="79" spans="1:28">
      <c r="Q79" s="54"/>
      <c r="R79" s="54"/>
      <c r="S79" s="55" t="s">
        <v>60</v>
      </c>
      <c r="T79" s="54" t="s">
        <v>35</v>
      </c>
      <c r="W79" s="59" t="s">
        <v>76</v>
      </c>
      <c r="X79" s="58"/>
      <c r="Y79" s="58"/>
      <c r="Z79" s="58"/>
      <c r="AA79" s="58"/>
      <c r="AB79" s="58"/>
    </row>
    <row r="80" spans="1:28">
      <c r="B80" s="44" t="s">
        <v>45</v>
      </c>
      <c r="C80" s="44" t="s">
        <v>77</v>
      </c>
      <c r="D80" s="103"/>
      <c r="E80" s="103"/>
      <c r="F80" s="103"/>
      <c r="G80" s="103"/>
      <c r="H80" s="103"/>
      <c r="I80" s="103"/>
      <c r="J80" s="103"/>
      <c r="K80" s="44"/>
      <c r="L80" s="45" t="s">
        <v>43</v>
      </c>
      <c r="M80" s="45" t="s">
        <v>44</v>
      </c>
      <c r="N80" s="91"/>
      <c r="O80" s="45"/>
      <c r="Q80" s="54"/>
      <c r="R80" s="56" t="s">
        <v>11</v>
      </c>
      <c r="S80" s="55">
        <f>SUM(S9:S75)</f>
        <v>982</v>
      </c>
      <c r="T80" s="57">
        <f>S80/24</f>
        <v>40.916666666666664</v>
      </c>
    </row>
    <row r="81" spans="2:28">
      <c r="B81" s="42" t="s">
        <v>38</v>
      </c>
      <c r="C81" s="63">
        <v>8</v>
      </c>
      <c r="D81" s="104"/>
      <c r="E81" s="104"/>
      <c r="F81" s="104"/>
      <c r="G81" s="104"/>
      <c r="H81" s="104"/>
      <c r="I81" s="104"/>
      <c r="J81" s="104"/>
      <c r="K81" s="63"/>
      <c r="L81" s="46">
        <f>COUNTIF($L$12:$L$75,"shelf w/pump")</f>
        <v>1</v>
      </c>
      <c r="M81" s="43" t="s">
        <v>81</v>
      </c>
      <c r="N81" s="92"/>
      <c r="O81" s="43"/>
      <c r="Q81" s="54"/>
      <c r="R81" s="56"/>
      <c r="S81" s="55"/>
      <c r="T81" s="57"/>
      <c r="W81" s="64" t="s">
        <v>78</v>
      </c>
      <c r="X81" s="58"/>
      <c r="Y81" s="58"/>
      <c r="Z81" s="61"/>
      <c r="AA81" s="58">
        <f>SUM(W$12:W$75)+12*L$84+L$90</f>
        <v>1532</v>
      </c>
      <c r="AB81" s="58"/>
    </row>
    <row r="82" spans="2:28">
      <c r="B82" s="42" t="s">
        <v>39</v>
      </c>
      <c r="C82" s="63">
        <v>2</v>
      </c>
      <c r="D82" s="104"/>
      <c r="E82" s="104"/>
      <c r="F82" s="104"/>
      <c r="G82" s="104"/>
      <c r="H82" s="104"/>
      <c r="I82" s="104"/>
      <c r="J82" s="104"/>
      <c r="K82" s="63"/>
      <c r="L82" s="46">
        <f>COUNTIF($L$12:$L$75,"shelf no pump")</f>
        <v>1</v>
      </c>
      <c r="M82" s="43" t="s">
        <v>42</v>
      </c>
      <c r="N82" s="92"/>
      <c r="O82" s="43"/>
      <c r="Q82" s="54"/>
      <c r="R82" s="56" t="s">
        <v>13</v>
      </c>
      <c r="S82" s="55">
        <v>619</v>
      </c>
      <c r="T82" s="57">
        <f>S82/24</f>
        <v>25.791666666666668</v>
      </c>
      <c r="W82" s="64" t="s">
        <v>79</v>
      </c>
      <c r="X82" s="58"/>
      <c r="Y82" s="58"/>
      <c r="Z82" s="61"/>
      <c r="AA82" s="58">
        <f>SUM(W$12:W$75)+12*L$84+L$88</f>
        <v>1498</v>
      </c>
      <c r="AB82" s="58"/>
    </row>
    <row r="83" spans="2:28">
      <c r="B83" s="42" t="s">
        <v>21</v>
      </c>
      <c r="C83" s="63">
        <v>18</v>
      </c>
      <c r="D83" s="104"/>
      <c r="E83" s="104"/>
      <c r="F83" s="104"/>
      <c r="G83" s="104"/>
      <c r="H83" s="104"/>
      <c r="I83" s="104"/>
      <c r="J83" s="104"/>
      <c r="K83" s="63"/>
      <c r="L83" s="46">
        <f>COUNTIF($L$12:$L$75,"slope")</f>
        <v>1</v>
      </c>
      <c r="M83" s="43" t="s">
        <v>82</v>
      </c>
      <c r="N83" s="92"/>
      <c r="O83" s="43"/>
      <c r="Q83" s="54"/>
      <c r="R83" s="56"/>
      <c r="S83" s="55"/>
      <c r="T83" s="57"/>
      <c r="W83" s="64" t="s">
        <v>80</v>
      </c>
      <c r="X83" s="58"/>
      <c r="Y83" s="58"/>
      <c r="Z83" s="61"/>
      <c r="AA83" s="58">
        <f>SUM(W$12:W$75)+L89</f>
        <v>1355</v>
      </c>
      <c r="AB83" s="58"/>
    </row>
    <row r="84" spans="2:28">
      <c r="B84" s="42" t="s">
        <v>6</v>
      </c>
      <c r="C84" s="63">
        <v>2</v>
      </c>
      <c r="D84" s="104"/>
      <c r="E84" s="104"/>
      <c r="F84" s="104"/>
      <c r="G84" s="104"/>
      <c r="H84" s="104"/>
      <c r="I84" s="104"/>
      <c r="J84" s="104"/>
      <c r="K84" s="63"/>
      <c r="L84" s="46">
        <f>COUNTIF($L$12:$L$75,"demi")</f>
        <v>11</v>
      </c>
      <c r="M84" s="43" t="s">
        <v>42</v>
      </c>
      <c r="N84" s="92"/>
      <c r="O84" s="43"/>
      <c r="Q84" s="54"/>
      <c r="R84" s="56" t="s">
        <v>7</v>
      </c>
      <c r="S84" s="55">
        <f>S80+S82</f>
        <v>1601</v>
      </c>
      <c r="T84" s="57">
        <f>S84/24</f>
        <v>66.708333333333329</v>
      </c>
      <c r="W84" s="64" t="s">
        <v>46</v>
      </c>
      <c r="X84" s="58"/>
      <c r="Y84" s="58"/>
      <c r="Z84" s="61"/>
      <c r="AA84" s="58"/>
      <c r="AB84" s="58">
        <f>SUM(X$12:X$75)</f>
        <v>372</v>
      </c>
    </row>
    <row r="85" spans="2:28">
      <c r="B85" s="42" t="s">
        <v>67</v>
      </c>
      <c r="C85" s="63">
        <v>35</v>
      </c>
      <c r="D85" s="104"/>
      <c r="E85" s="104"/>
      <c r="F85" s="104"/>
      <c r="G85" s="104"/>
      <c r="H85" s="104"/>
      <c r="I85" s="104"/>
      <c r="J85" s="104"/>
      <c r="K85" s="63"/>
      <c r="L85" s="46">
        <f>COUNTIF($L$12:$L$75,"Full-24")</f>
        <v>6</v>
      </c>
      <c r="M85" s="43" t="s">
        <v>57</v>
      </c>
      <c r="N85" s="92"/>
      <c r="O85" s="43"/>
      <c r="Q85" s="54"/>
      <c r="R85" s="56"/>
      <c r="S85" s="55"/>
      <c r="T85" s="54"/>
      <c r="W85" s="64" t="s">
        <v>47</v>
      </c>
      <c r="X85" s="58"/>
      <c r="Y85" s="58"/>
      <c r="Z85" s="61"/>
      <c r="AA85" s="58"/>
      <c r="AB85" s="58">
        <f>AB84+SUM(Y12:Y75)</f>
        <v>419</v>
      </c>
    </row>
    <row r="86" spans="2:28">
      <c r="B86" s="42" t="s">
        <v>68</v>
      </c>
      <c r="C86" s="63">
        <v>42</v>
      </c>
      <c r="D86" s="104"/>
      <c r="E86" s="104"/>
      <c r="F86" s="104"/>
      <c r="G86" s="104"/>
      <c r="H86" s="104"/>
      <c r="I86" s="104"/>
      <c r="J86" s="104"/>
      <c r="K86" s="63"/>
      <c r="L86" s="46">
        <f>COUNTIF($L$12:$L$75,"Full-36")</f>
        <v>9</v>
      </c>
      <c r="M86" s="43" t="s">
        <v>62</v>
      </c>
      <c r="N86" s="92"/>
      <c r="O86" s="43"/>
      <c r="Q86" s="54"/>
      <c r="R86" s="56" t="s">
        <v>63</v>
      </c>
      <c r="S86" s="55">
        <f>67*24</f>
        <v>1608</v>
      </c>
      <c r="T86" s="54">
        <f>S86/24</f>
        <v>67</v>
      </c>
    </row>
    <row r="87" spans="2:28">
      <c r="B87" s="42" t="s">
        <v>5</v>
      </c>
      <c r="C87" s="63">
        <v>52</v>
      </c>
      <c r="D87" s="104"/>
      <c r="E87" s="104"/>
      <c r="F87" s="104"/>
      <c r="G87" s="104"/>
      <c r="H87" s="104"/>
      <c r="I87" s="104"/>
      <c r="J87" s="104"/>
      <c r="K87" s="63"/>
      <c r="L87" s="46">
        <f>COUNTIF($L$12:$L$75,"Super")</f>
        <v>5</v>
      </c>
      <c r="M87" s="43" t="s">
        <v>58</v>
      </c>
      <c r="N87" s="92"/>
      <c r="O87" s="43"/>
      <c r="Q87" s="54"/>
      <c r="R87" s="56"/>
      <c r="S87" s="55"/>
      <c r="T87" s="54"/>
    </row>
    <row r="88" spans="2:28">
      <c r="C88" s="11" t="s">
        <v>73</v>
      </c>
      <c r="D88" s="96"/>
      <c r="E88" s="96"/>
      <c r="F88" s="96"/>
      <c r="G88" s="96"/>
      <c r="H88" s="96"/>
      <c r="I88" s="96"/>
      <c r="J88" s="96"/>
      <c r="K88" s="11"/>
      <c r="L88" s="62">
        <f>SUM(L81:L87)</f>
        <v>34</v>
      </c>
      <c r="Q88" s="54"/>
      <c r="R88" s="56" t="s">
        <v>12</v>
      </c>
      <c r="S88" s="55">
        <f>S86-S84</f>
        <v>7</v>
      </c>
      <c r="T88" s="54"/>
    </row>
    <row r="89" spans="2:28">
      <c r="C89" s="11" t="s">
        <v>74</v>
      </c>
      <c r="D89" s="96"/>
      <c r="E89" s="96"/>
      <c r="F89" s="96"/>
      <c r="G89" s="96"/>
      <c r="H89" s="96"/>
      <c r="I89" s="96"/>
      <c r="J89" s="96"/>
      <c r="K89" s="11"/>
      <c r="L89" s="62">
        <f>SUM(L85:L87,L81:L83)</f>
        <v>23</v>
      </c>
    </row>
    <row r="90" spans="2:28">
      <c r="C90" s="11" t="s">
        <v>69</v>
      </c>
      <c r="D90" s="96"/>
      <c r="E90" s="96"/>
      <c r="F90" s="96"/>
      <c r="G90" s="96"/>
      <c r="H90" s="96"/>
      <c r="I90" s="96"/>
      <c r="J90" s="96"/>
      <c r="K90" s="11"/>
      <c r="L90" s="62">
        <f>2*L88</f>
        <v>68</v>
      </c>
    </row>
    <row r="91" spans="2:28">
      <c r="C91" s="27"/>
      <c r="D91" s="105"/>
      <c r="E91" s="105"/>
      <c r="F91" s="105"/>
      <c r="G91" s="105"/>
      <c r="H91" s="105"/>
      <c r="I91" s="105"/>
      <c r="J91" s="105"/>
      <c r="K91" s="27"/>
      <c r="L91" s="27"/>
      <c r="M91" s="27"/>
      <c r="N91" s="93"/>
      <c r="O91" s="27"/>
      <c r="P91" s="27"/>
      <c r="Q91" s="27"/>
      <c r="R91" s="27"/>
    </row>
  </sheetData>
  <pageMargins left="0.75" right="0.75" top="1" bottom="1" header="0.5" footer="0.5"/>
  <pageSetup scale="77" fitToHeight="0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German</dc:creator>
  <cp:lastModifiedBy>Bob Anderson</cp:lastModifiedBy>
  <cp:lastPrinted>2018-03-21T20:24:38Z</cp:lastPrinted>
  <dcterms:created xsi:type="dcterms:W3CDTF">2013-04-25T18:29:24Z</dcterms:created>
  <dcterms:modified xsi:type="dcterms:W3CDTF">2022-01-09T16:01:54Z</dcterms:modified>
</cp:coreProperties>
</file>